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codeName="ThisWorkbook" defaultThemeVersion="124226"/>
  <xr:revisionPtr revIDLastSave="0" documentId="13_ncr:1_{754047DF-249C-453B-83CC-7445CBDB0047}" xr6:coauthVersionLast="47" xr6:coauthVersionMax="47" xr10:uidLastSave="{00000000-0000-0000-0000-000000000000}"/>
  <bookViews>
    <workbookView xWindow="-120" yWindow="-120" windowWidth="29040" windowHeight="15720" tabRatio="666" firstSheet="135" activeTab="138" xr2:uid="{00000000-000D-0000-FFFF-FFFF00000000}"/>
  </bookViews>
  <sheets>
    <sheet name="3000071239" sheetId="11" r:id="rId1"/>
    <sheet name="Electrical" sheetId="12" r:id="rId2"/>
    <sheet name="3000070098" sheetId="13" r:id="rId3"/>
    <sheet name="3000070909" sheetId="15" r:id="rId4"/>
    <sheet name="3000070153" sheetId="19" r:id="rId5"/>
    <sheet name="3000073716" sheetId="18" r:id="rId6"/>
    <sheet name="3000073821" sheetId="21" r:id="rId7"/>
    <sheet name="3000073582" sheetId="22" r:id="rId8"/>
    <sheet name="3000074543" sheetId="23" r:id="rId9"/>
    <sheet name="3000076580" sheetId="24" r:id="rId10"/>
    <sheet name="3000078236" sheetId="25" r:id="rId11"/>
    <sheet name="3000079118" sheetId="26" r:id="rId12"/>
    <sheet name="3000080028" sheetId="27" r:id="rId13"/>
    <sheet name="Moog Bdgt" sheetId="29" r:id="rId14"/>
    <sheet name="3000081215" sheetId="30" r:id="rId15"/>
    <sheet name="3000081489" sheetId="31" r:id="rId16"/>
    <sheet name="30000145976" sheetId="32" r:id="rId17"/>
    <sheet name="Breaker test kit" sheetId="33" r:id="rId18"/>
    <sheet name="3000079117" sheetId="34" r:id="rId19"/>
    <sheet name="3000081256" sheetId="35" r:id="rId20"/>
    <sheet name="3000078564" sheetId="36" r:id="rId21"/>
    <sheet name="3000074520" sheetId="37" r:id="rId22"/>
    <sheet name="3000079853" sheetId="38" r:id="rId23"/>
    <sheet name="3000076778" sheetId="39" r:id="rId24"/>
    <sheet name="3000075170" sheetId="40" r:id="rId25"/>
    <sheet name="Kfine" sheetId="41" r:id="rId26"/>
    <sheet name="Fans-Meeta" sheetId="42" r:id="rId27"/>
    <sheet name="3000081388" sheetId="43" r:id="rId28"/>
    <sheet name="Contactor JSG" sheetId="44" r:id="rId29"/>
    <sheet name="3000078143" sheetId="45" r:id="rId30"/>
    <sheet name="3000085243" sheetId="46" r:id="rId31"/>
    <sheet name="TG Oil Pump" sheetId="47" r:id="rId32"/>
    <sheet name="Fans-Sampad" sheetId="48" r:id="rId33"/>
    <sheet name="Telemecaniq-Sampad" sheetId="49" r:id="rId34"/>
    <sheet name="ESP Isolator" sheetId="51" r:id="rId35"/>
    <sheet name="MEL391222130646" sheetId="52" r:id="rId36"/>
    <sheet name="Meeta 3000075170" sheetId="54" r:id="rId37"/>
    <sheet name="3000085783" sheetId="55" r:id="rId38"/>
    <sheet name="Moglix" sheetId="56" r:id="rId39"/>
    <sheet name="3000086774" sheetId="57" r:id="rId40"/>
    <sheet name="3000084708 " sheetId="58" r:id="rId41"/>
    <sheet name="30000087054" sheetId="59" r:id="rId42"/>
    <sheet name="Sovit" sheetId="60" r:id="rId43"/>
    <sheet name="Pr Guage" sheetId="61" r:id="rId44"/>
    <sheet name="3000084478" sheetId="62" r:id="rId45"/>
    <sheet name="3000084708" sheetId="63" r:id="rId46"/>
    <sheet name="Routing- Applied" sheetId="64" r:id="rId47"/>
    <sheet name="MHW311628000263" sheetId="65" r:id="rId48"/>
    <sheet name="MIA312515010107" sheetId="66" r:id="rId49"/>
    <sheet name="HRC- JSG-STEAG" sheetId="67" r:id="rId50"/>
    <sheet name="3000087910 " sheetId="68" r:id="rId51"/>
    <sheet name="Critical Material" sheetId="69" r:id="rId52"/>
    <sheet name="3000090436" sheetId="70" r:id="rId53"/>
    <sheet name="3266872087" sheetId="71" r:id="rId54"/>
    <sheet name="Amarkant Fan Actuator" sheetId="72" r:id="rId55"/>
    <sheet name="Amarkant Misc" sheetId="73" r:id="rId56"/>
    <sheet name="HT Motors" sheetId="74" r:id="rId57"/>
    <sheet name="AOH" sheetId="75" r:id="rId58"/>
    <sheet name="Gearbox Lot 10." sheetId="76" r:id="rId59"/>
    <sheet name="Gearbox Lot 11" sheetId="77" r:id="rId60"/>
    <sheet name="MOV Electrosteel" sheetId="78" r:id="rId61"/>
    <sheet name="JOP Valves" sheetId="79" r:id="rId62"/>
    <sheet name="GV Budget" sheetId="80" r:id="rId63"/>
    <sheet name="LT Motors CPP" sheetId="81" r:id="rId64"/>
    <sheet name="Bharadwaj Elec " sheetId="82" r:id="rId65"/>
    <sheet name="Doc4511220060 " sheetId="83" r:id="rId66"/>
    <sheet name="Prashant Mech CPP" sheetId="84" r:id="rId67"/>
    <sheet name="SND TSPL" sheetId="85" r:id="rId68"/>
    <sheet name="Mech Import 25" sheetId="86" r:id="rId69"/>
    <sheet name="Mech POPO" sheetId="87" r:id="rId70"/>
    <sheet name="Doc4642732163" sheetId="88" r:id="rId71"/>
    <sheet name="Doc4642809444" sheetId="90" r:id="rId72"/>
    <sheet name="Doc4652136696" sheetId="91" r:id="rId73"/>
    <sheet name="DOC4646561912" sheetId="92" r:id="rId74"/>
    <sheet name="Doc4642762565" sheetId="93" r:id="rId75"/>
    <sheet name="Gen diodes &amp; Fuses" sheetId="94" r:id="rId76"/>
    <sheet name="YOX 280" sheetId="95" r:id="rId77"/>
    <sheet name="Doc4760561379" sheetId="96" r:id="rId78"/>
    <sheet name="3000118775" sheetId="97" r:id="rId79"/>
    <sheet name="3000119306" sheetId="98" r:id="rId80"/>
    <sheet name="Exciter for Meenakshi Site" sheetId="99" r:id="rId81"/>
    <sheet name="3000115413" sheetId="100" r:id="rId82"/>
    <sheet name=" 3000118197" sheetId="101" r:id="rId83"/>
    <sheet name="Doc4793672932" sheetId="102" r:id="rId84"/>
    <sheet name="Doc4461195564 " sheetId="103" r:id="rId85"/>
    <sheet name="Doc4524210333" sheetId="104" r:id="rId86"/>
    <sheet name="3000118471" sheetId="105" r:id="rId87"/>
    <sheet name="Doc4790541698" sheetId="106" r:id="rId88"/>
    <sheet name="3000118839 " sheetId="107" r:id="rId89"/>
    <sheet name="3000115852" sheetId="108" r:id="rId90"/>
    <sheet name="Doc4869959237 " sheetId="109" r:id="rId91"/>
    <sheet name="3000120101" sheetId="110" r:id="rId92"/>
    <sheet name="3000115275" sheetId="111" r:id="rId93"/>
    <sheet name="3000119589" sheetId="112" r:id="rId94"/>
    <sheet name="3000119931" sheetId="113" r:id="rId95"/>
    <sheet name="3000118612" sheetId="114" r:id="rId96"/>
    <sheet name="5000006763" sheetId="115" r:id="rId97"/>
    <sheet name="5000006383" sheetId="116" r:id="rId98"/>
    <sheet name="3000120447" sheetId="117" r:id="rId99"/>
    <sheet name="3000119648" sheetId="118" r:id="rId100"/>
    <sheet name="3000120034" sheetId="119" r:id="rId101"/>
    <sheet name="3000120064" sheetId="120" r:id="rId102"/>
    <sheet name="3000118275" sheetId="121" r:id="rId103"/>
    <sheet name="Doc4937104866" sheetId="122" r:id="rId104"/>
    <sheet name="5000006353" sheetId="123" r:id="rId105"/>
    <sheet name="3000120357" sheetId="124" r:id="rId106"/>
    <sheet name="Diaphragm Coupling" sheetId="125" r:id="rId107"/>
    <sheet name="3000120475" sheetId="127" r:id="rId108"/>
    <sheet name="Doc4958075688" sheetId="128" r:id="rId109"/>
    <sheet name="Doc4945775348" sheetId="129" r:id="rId110"/>
    <sheet name="DC motors" sheetId="130" r:id="rId111"/>
    <sheet name="3000120009" sheetId="131" r:id="rId112"/>
    <sheet name="3000120324" sheetId="132" r:id="rId113"/>
    <sheet name="3000121261" sheetId="134" r:id="rId114"/>
    <sheet name="3000121044" sheetId="133" r:id="rId115"/>
    <sheet name="3000121136" sheetId="135" r:id="rId116"/>
    <sheet name="3000121246" sheetId="136" r:id="rId117"/>
    <sheet name="3000120604" sheetId="137" r:id="rId118"/>
    <sheet name="3000121767" sheetId="138" r:id="rId119"/>
    <sheet name="Doc5099031261" sheetId="139" r:id="rId120"/>
    <sheet name="5000007245" sheetId="140" r:id="rId121"/>
    <sheet name="Reheater spray MOV" sheetId="141" r:id="rId122"/>
    <sheet name="HPCV Cross head" sheetId="142" r:id="rId123"/>
    <sheet name="Main Turbine &amp; steam valves" sheetId="143" r:id="rId124"/>
    <sheet name="YV1 &amp; YV2" sheetId="144" r:id="rId125"/>
    <sheet name="Generator stator water manifold" sheetId="145" r:id="rId126"/>
    <sheet name="3000122262" sheetId="146" r:id="rId127"/>
    <sheet name="Doc5132783963" sheetId="148" r:id="rId128"/>
    <sheet name="Doc5077298124" sheetId="149" r:id="rId129"/>
    <sheet name="3000122264" sheetId="150" r:id="rId130"/>
    <sheet name="CEP Cartridge" sheetId="151" r:id="rId131"/>
    <sheet name="3000122441" sheetId="152" r:id="rId132"/>
    <sheet name="3000122443" sheetId="153" r:id="rId133"/>
    <sheet name="Doc5074023574" sheetId="154" r:id="rId134"/>
    <sheet name="Doc5007138466" sheetId="156" r:id="rId135"/>
    <sheet name="Turbine fastener and accessorie" sheetId="157" r:id="rId136"/>
    <sheet name="Enquiry for Liner Set" sheetId="158" r:id="rId137"/>
    <sheet name="Motor Cooling Fan &amp; Cooling Cov" sheetId="159" r:id="rId138"/>
    <sheet name="SWAS Chinese conductivity senso" sheetId="160" r:id="rId139"/>
    <sheet name="ID fan Labyrinth seal diagram" sheetId="161" r:id="rId140"/>
  </sheets>
  <externalReferences>
    <externalReference r:id="rId141"/>
  </externalReferences>
  <definedNames>
    <definedName name="_xlnm._FilterDatabase" localSheetId="82" hidden="1">' 3000118197'!$A$1:$L$5</definedName>
    <definedName name="_xlnm._FilterDatabase" localSheetId="92" hidden="1">'3000115275'!$A$1:$K$5</definedName>
    <definedName name="_xlnm._FilterDatabase" localSheetId="81" hidden="1">'3000115413'!$A$1:$L$10</definedName>
    <definedName name="_xlnm._FilterDatabase" localSheetId="89" hidden="1">'3000115852'!$A$1:$K$6</definedName>
    <definedName name="_xlnm._FilterDatabase" localSheetId="102" hidden="1">'3000118275'!$A$1:$K$5</definedName>
    <definedName name="_xlnm._FilterDatabase" localSheetId="86" hidden="1">'3000118471'!$A$1:$K$5</definedName>
    <definedName name="_xlnm._FilterDatabase" localSheetId="95" hidden="1">'3000118612'!$A$1:$K$5</definedName>
    <definedName name="_xlnm._FilterDatabase" localSheetId="78" hidden="1">'3000118775'!$A$1:$L$6</definedName>
    <definedName name="_xlnm._FilterDatabase" localSheetId="88" hidden="1">'3000118839 '!$A$1:$K$5</definedName>
    <definedName name="_xlnm._FilterDatabase" localSheetId="79" hidden="1">'3000119306'!$A$1:$L$5</definedName>
    <definedName name="_xlnm._FilterDatabase" localSheetId="93" hidden="1">'3000119589'!$A$1:$K$6</definedName>
    <definedName name="_xlnm._FilterDatabase" localSheetId="99" hidden="1">'3000119648'!$A$1:$K$6</definedName>
    <definedName name="_xlnm._FilterDatabase" localSheetId="94" hidden="1">'3000119931'!$A$1:$K$9</definedName>
    <definedName name="_xlnm._FilterDatabase" localSheetId="111" hidden="1">'3000120009'!$A$1:$K$7</definedName>
    <definedName name="_xlnm._FilterDatabase" localSheetId="100" hidden="1">'3000120034'!$A$1:$N$20</definedName>
    <definedName name="_xlnm._FilterDatabase" localSheetId="101" hidden="1">'3000120064'!$A$1:$K$7</definedName>
    <definedName name="_xlnm._FilterDatabase" localSheetId="91" hidden="1">'3000120101'!$A$1:$K$8</definedName>
    <definedName name="_xlnm._FilterDatabase" localSheetId="112" hidden="1">'3000120324'!$A$1:$K$10</definedName>
    <definedName name="_xlnm._FilterDatabase" localSheetId="105" hidden="1">'3000120357'!$A$1:$K$23</definedName>
    <definedName name="_xlnm._FilterDatabase" localSheetId="98" hidden="1">'3000120447'!$A$1:$K$5</definedName>
    <definedName name="_xlnm._FilterDatabase" localSheetId="107" hidden="1">'3000120475'!$A$1:$K$6</definedName>
    <definedName name="_xlnm._FilterDatabase" localSheetId="117" hidden="1">'3000120604'!$A$1:$K$6</definedName>
    <definedName name="_xlnm._FilterDatabase" localSheetId="114" hidden="1">'3000121044'!$A$1:$K$5</definedName>
    <definedName name="_xlnm._FilterDatabase" localSheetId="115" hidden="1">'3000121136'!$A$1:$K$14</definedName>
    <definedName name="_xlnm._FilterDatabase" localSheetId="116" hidden="1">'3000121246'!$A$1:$K$5</definedName>
    <definedName name="_xlnm._FilterDatabase" localSheetId="113" hidden="1">'3000121261'!$A$1:$K$8</definedName>
    <definedName name="_xlnm._FilterDatabase" localSheetId="118" hidden="1">'3000121767'!$A$1:$K$5</definedName>
    <definedName name="_xlnm._FilterDatabase" localSheetId="126" hidden="1">'3000122262'!$A$1:$K$5</definedName>
    <definedName name="_xlnm._FilterDatabase" localSheetId="129" hidden="1">'3000122264'!$A$1:$K$7</definedName>
    <definedName name="_xlnm._FilterDatabase" localSheetId="131" hidden="1">'3000122441'!$A$1:$K$6</definedName>
    <definedName name="_xlnm._FilterDatabase" localSheetId="132" hidden="1">'3000122443'!$A$1:$K$7</definedName>
    <definedName name="_xlnm._FilterDatabase" localSheetId="104" hidden="1">'5000006353'!$A$1:$K$6</definedName>
    <definedName name="_xlnm._FilterDatabase" localSheetId="97" hidden="1">'5000006383'!$A$1:$K$6</definedName>
    <definedName name="_xlnm._FilterDatabase" localSheetId="96" hidden="1">'5000006763'!$A$1:$K$5</definedName>
    <definedName name="_xlnm._FilterDatabase" localSheetId="120" hidden="1">'5000007245'!$A$1:$K$5</definedName>
    <definedName name="_xlnm._FilterDatabase" localSheetId="130" hidden="1">'CEP Cartridge'!$A$1:$K$5</definedName>
    <definedName name="_xlnm._FilterDatabase" localSheetId="110" hidden="1">'DC motors'!$A$1:$K$8</definedName>
    <definedName name="_xlnm._FilterDatabase" localSheetId="106" hidden="1">'Diaphragm Coupling'!$A$1:$K$5</definedName>
    <definedName name="_xlnm._FilterDatabase" localSheetId="84" hidden="1">'Doc4461195564 '!$A$1:$L$6</definedName>
    <definedName name="_xlnm._FilterDatabase" localSheetId="65" hidden="1">'Doc4511220060 '!$A$1:$N$41</definedName>
    <definedName name="_xlnm._FilterDatabase" localSheetId="85" hidden="1">Doc4524210333!$A$1:$L$17</definedName>
    <definedName name="_xlnm._FilterDatabase" localSheetId="70" hidden="1">Doc4642732163!$A$1:$N$11</definedName>
    <definedName name="_xlnm._FilterDatabase" localSheetId="74" hidden="1">Doc4642762565!$A$1:$K$36</definedName>
    <definedName name="_xlnm._FilterDatabase" localSheetId="71" hidden="1">Doc4642809444!$A$1:$N$14</definedName>
    <definedName name="_xlnm._FilterDatabase" localSheetId="73" hidden="1">DOC4646561912!$A$1:$K$32</definedName>
    <definedName name="_xlnm._FilterDatabase" localSheetId="72" hidden="1">Doc4652136696!$A$1:$S$34</definedName>
    <definedName name="_xlnm._FilterDatabase" localSheetId="77" hidden="1">Doc4760561379!$A$1:$K$5</definedName>
    <definedName name="_xlnm._FilterDatabase" localSheetId="87" hidden="1">Doc4790541698!$A$1:$K$6</definedName>
    <definedName name="_xlnm._FilterDatabase" localSheetId="83" hidden="1">Doc4793672932!$A$1:$L$7</definedName>
    <definedName name="_xlnm._FilterDatabase" localSheetId="90" hidden="1">'Doc4869959237 '!$A$1:$K$14</definedName>
    <definedName name="_xlnm._FilterDatabase" localSheetId="103" hidden="1">Doc4937104866!$A$1:$K$8</definedName>
    <definedName name="_xlnm._FilterDatabase" localSheetId="109" hidden="1">Doc4945775348!$A$1:$K$5</definedName>
    <definedName name="_xlnm._FilterDatabase" localSheetId="108" hidden="1">Doc4958075688!$A$1:$K$17</definedName>
    <definedName name="_xlnm._FilterDatabase" localSheetId="134" hidden="1">Doc5007138466!$A$1:$K$5</definedName>
    <definedName name="_xlnm._FilterDatabase" localSheetId="133" hidden="1">Doc5074023574!$A$1:$L$8</definedName>
    <definedName name="_xlnm._FilterDatabase" localSheetId="128" hidden="1">Doc5077298124!$A$1:$J$11</definedName>
    <definedName name="_xlnm._FilterDatabase" localSheetId="119" hidden="1">Doc5099031261!$A$1:$K$19</definedName>
    <definedName name="_xlnm._FilterDatabase" localSheetId="127" hidden="1">Doc5132783963!$A$1:$S$38</definedName>
    <definedName name="_xlnm._FilterDatabase" localSheetId="136" hidden="1">'Enquiry for Liner Set'!#REF!</definedName>
    <definedName name="_xlnm._FilterDatabase" localSheetId="80" hidden="1">'Exciter for Meenakshi Site'!$A$1:$K$6</definedName>
    <definedName name="_xlnm._FilterDatabase" localSheetId="58" hidden="1">'Gearbox Lot 10.'!$A$1:$N$13</definedName>
    <definedName name="_xlnm._FilterDatabase" localSheetId="59" hidden="1">'Gearbox Lot 11'!$A$1:$N$10</definedName>
    <definedName name="_xlnm._FilterDatabase" localSheetId="75" hidden="1">'Gen diodes &amp; Fuses'!$A$1:$K$7</definedName>
    <definedName name="_xlnm._FilterDatabase" localSheetId="125" hidden="1">'Generator stator water manifold'!$A$1:$K$6</definedName>
    <definedName name="_xlnm._FilterDatabase" localSheetId="122" hidden="1">'HPCV Cross head'!$A$1:$K$5</definedName>
    <definedName name="_xlnm._FilterDatabase" localSheetId="139" hidden="1">'ID fan Labyrinth seal diagram'!#REF!</definedName>
    <definedName name="_xlnm._FilterDatabase" localSheetId="123" hidden="1">'Main Turbine &amp; steam valves'!$A$1:$K$11</definedName>
    <definedName name="_xlnm._FilterDatabase" localSheetId="68" hidden="1">'Mech Import 25'!$A$1:$M$52</definedName>
    <definedName name="_xlnm._FilterDatabase" localSheetId="69" hidden="1">'Mech POPO'!$A$1:$N$17</definedName>
    <definedName name="_xlnm._FilterDatabase" localSheetId="137" hidden="1">'Motor Cooling Fan &amp; Cooling Cov'!#REF!</definedName>
    <definedName name="_xlnm._FilterDatabase" localSheetId="121" hidden="1">'Reheater spray MOV'!$A$1:$K$5</definedName>
    <definedName name="_xlnm._FilterDatabase" localSheetId="67" hidden="1">'SND TSPL'!$A$1:$N$20</definedName>
    <definedName name="_xlnm._FilterDatabase" localSheetId="138" hidden="1">'SWAS Chinese conductivity senso'!#REF!</definedName>
    <definedName name="_xlnm._FilterDatabase" localSheetId="135" hidden="1">'Turbine fastener and accessorie'!$A$1:$D$49</definedName>
    <definedName name="_xlnm._FilterDatabase" localSheetId="76" hidden="1">'YOX 280'!$A$1:$J$5</definedName>
    <definedName name="_xlnm._FilterDatabase" localSheetId="124" hidden="1">'YV1 &amp; YV2'!$A$1:$K$6</definedName>
    <definedName name="DV_area_2">[1]DV_sheet_!$C$1:$C$44</definedName>
    <definedName name="DV_area_3">[1]DV_sheet_!$D$1:$D$207</definedName>
    <definedName name="DV_area_4">[1]DV_sheet_!$E$1:$E$5</definedName>
    <definedName name="DV_area_5">[1]DV_sheet_!$F$1:$F$51</definedName>
    <definedName name="DV_area_6">[1]DV_sheet_!$G$1:$G$6</definedName>
    <definedName name="_xlnm.Print_Area" localSheetId="82">' 3000118197'!$A$1:$I$7</definedName>
    <definedName name="_xlnm.Print_Area" localSheetId="0">'3000071239'!$A$1:$L$14</definedName>
    <definedName name="_xlnm.Print_Area" localSheetId="92">'3000115275'!$A$1:$I$7</definedName>
    <definedName name="_xlnm.Print_Area" localSheetId="81">'3000115413'!$A$1:$I$12</definedName>
    <definedName name="_xlnm.Print_Area" localSheetId="89">'3000115852'!$A$1:$I$8</definedName>
    <definedName name="_xlnm.Print_Area" localSheetId="102">'3000118275'!$A$1:$I$7</definedName>
    <definedName name="_xlnm.Print_Area" localSheetId="86">'3000118471'!$A$1:$I$7</definedName>
    <definedName name="_xlnm.Print_Area" localSheetId="95">'3000118612'!$A$1:$I$7</definedName>
    <definedName name="_xlnm.Print_Area" localSheetId="78">'3000118775'!$A$1:$I$8</definedName>
    <definedName name="_xlnm.Print_Area" localSheetId="88">'3000118839 '!$A$1:$I$7</definedName>
    <definedName name="_xlnm.Print_Area" localSheetId="79">'3000119306'!$A$1:$I$7</definedName>
    <definedName name="_xlnm.Print_Area" localSheetId="93">'3000119589'!$A$1:$I$8</definedName>
    <definedName name="_xlnm.Print_Area" localSheetId="99">'3000119648'!$A$1:$I$8</definedName>
    <definedName name="_xlnm.Print_Area" localSheetId="94">'3000119931'!$A$1:$I$11</definedName>
    <definedName name="_xlnm.Print_Area" localSheetId="111">'3000120009'!$A$1:$I$9</definedName>
    <definedName name="_xlnm.Print_Area" localSheetId="100">'3000120034'!$A$1:$I$22</definedName>
    <definedName name="_xlnm.Print_Area" localSheetId="101">'3000120064'!$A$1:$I$9</definedName>
    <definedName name="_xlnm.Print_Area" localSheetId="91">'3000120101'!$A$1:$I$10</definedName>
    <definedName name="_xlnm.Print_Area" localSheetId="112">'3000120324'!$A$1:$I$12</definedName>
    <definedName name="_xlnm.Print_Area" localSheetId="105">'3000120357'!$A$1:$I$25</definedName>
    <definedName name="_xlnm.Print_Area" localSheetId="98">'3000120447'!$A$1:$I$7</definedName>
    <definedName name="_xlnm.Print_Area" localSheetId="107">'3000120475'!$A$1:$I$8</definedName>
    <definedName name="_xlnm.Print_Area" localSheetId="117">'3000120604'!$A$1:$I$8</definedName>
    <definedName name="_xlnm.Print_Area" localSheetId="114">'3000121044'!$A$1:$I$7</definedName>
    <definedName name="_xlnm.Print_Area" localSheetId="115">'3000121136'!$A$1:$I$16</definedName>
    <definedName name="_xlnm.Print_Area" localSheetId="116">'3000121246'!$A$1:$I$7</definedName>
    <definedName name="_xlnm.Print_Area" localSheetId="113">'3000121261'!$A$1:$I$10</definedName>
    <definedName name="_xlnm.Print_Area" localSheetId="118">'3000121767'!$A$1:$I$7</definedName>
    <definedName name="_xlnm.Print_Area" localSheetId="126">'3000122262'!$A$1:$I$7</definedName>
    <definedName name="_xlnm.Print_Area" localSheetId="129">'3000122264'!$A$1:$I$9</definedName>
    <definedName name="_xlnm.Print_Area" localSheetId="131">'3000122441'!$A$1:$I$8</definedName>
    <definedName name="_xlnm.Print_Area" localSheetId="132">'3000122443'!$A$1:$I$9</definedName>
    <definedName name="_xlnm.Print_Area" localSheetId="104">'5000006353'!$A$1:$I$8</definedName>
    <definedName name="_xlnm.Print_Area" localSheetId="97">'5000006383'!$A$1:$I$8</definedName>
    <definedName name="_xlnm.Print_Area" localSheetId="96">'5000006763'!$A$1:$I$7</definedName>
    <definedName name="_xlnm.Print_Area" localSheetId="120">'5000007245'!$A$1:$I$7</definedName>
    <definedName name="_xlnm.Print_Area" localSheetId="64">'Bharadwaj Elec '!$A$1:$H$21</definedName>
    <definedName name="_xlnm.Print_Area" localSheetId="130">'CEP Cartridge'!$A$1:$I$7</definedName>
    <definedName name="_xlnm.Print_Area" localSheetId="110">'DC motors'!$A$1:$I$10</definedName>
    <definedName name="_xlnm.Print_Area" localSheetId="106">'Diaphragm Coupling'!$A$1:$I$7</definedName>
    <definedName name="_xlnm.Print_Area" localSheetId="84">'Doc4461195564 '!$A$1:$I$8</definedName>
    <definedName name="_xlnm.Print_Area" localSheetId="65">'Doc4511220060 '!$A$1:$H$43</definedName>
    <definedName name="_xlnm.Print_Area" localSheetId="85">Doc4524210333!$A$1:$I$19</definedName>
    <definedName name="_xlnm.Print_Area" localSheetId="70">Doc4642732163!$A$1:$H$13</definedName>
    <definedName name="_xlnm.Print_Area" localSheetId="74">Doc4642762565!$A$1:$H$38</definedName>
    <definedName name="_xlnm.Print_Area" localSheetId="71">Doc4642809444!$A$1:$H$16</definedName>
    <definedName name="_xlnm.Print_Area" localSheetId="73">DOC4646561912!$A$1:$H$34</definedName>
    <definedName name="_xlnm.Print_Area" localSheetId="72">Doc4652136696!$A$1:$H$36</definedName>
    <definedName name="_xlnm.Print_Area" localSheetId="77">Doc4760561379!$A$1:$H$7</definedName>
    <definedName name="_xlnm.Print_Area" localSheetId="87">Doc4790541698!$A$1:$I$8</definedName>
    <definedName name="_xlnm.Print_Area" localSheetId="83">Doc4793672932!$A$1:$I$9</definedName>
    <definedName name="_xlnm.Print_Area" localSheetId="90">'Doc4869959237 '!$A$1:$I$16</definedName>
    <definedName name="_xlnm.Print_Area" localSheetId="103">Doc4937104866!$A$1:$I$10</definedName>
    <definedName name="_xlnm.Print_Area" localSheetId="109">Doc4945775348!$A$1:$I$7</definedName>
    <definedName name="_xlnm.Print_Area" localSheetId="108">Doc4958075688!$A$1:$I$19</definedName>
    <definedName name="_xlnm.Print_Area" localSheetId="134">Doc5007138466!$A$1:$I$7</definedName>
    <definedName name="_xlnm.Print_Area" localSheetId="133">Doc5074023574!$A$1:$J$10</definedName>
    <definedName name="_xlnm.Print_Area" localSheetId="128">Doc5077298124!$A$1:$H$11</definedName>
    <definedName name="_xlnm.Print_Area" localSheetId="119">Doc5099031261!$A$1:$I$21</definedName>
    <definedName name="_xlnm.Print_Area" localSheetId="127">Doc5132783963!$A$1:$J$36</definedName>
    <definedName name="_xlnm.Print_Area" localSheetId="1">Electrical!$A$1:$L$22</definedName>
    <definedName name="_xlnm.Print_Area" localSheetId="136">'Enquiry for Liner Set'!#REF!</definedName>
    <definedName name="_xlnm.Print_Area" localSheetId="80">'Exciter for Meenakshi Site'!$A$1:$H$8</definedName>
    <definedName name="_xlnm.Print_Area" localSheetId="75">'Gen diodes &amp; Fuses'!$A$1:$H$9</definedName>
    <definedName name="_xlnm.Print_Area" localSheetId="125">'Generator stator water manifold'!$A$1:$I$8</definedName>
    <definedName name="_xlnm.Print_Area" localSheetId="62">'GV Budget'!$A$1:$H$17</definedName>
    <definedName name="_xlnm.Print_Area" localSheetId="122">'HPCV Cross head'!$A$1:$I$7</definedName>
    <definedName name="_xlnm.Print_Area" localSheetId="139">'ID fan Labyrinth seal diagram'!#REF!</definedName>
    <definedName name="_xlnm.Print_Area" localSheetId="63">'LT Motors CPP'!$A$1:$H$10</definedName>
    <definedName name="_xlnm.Print_Area" localSheetId="123">'Main Turbine &amp; steam valves'!$A$1:$I$12</definedName>
    <definedName name="_xlnm.Print_Area" localSheetId="68">'Mech Import 25'!$A$1:$H$54</definedName>
    <definedName name="_xlnm.Print_Area" localSheetId="69">'Mech POPO'!$A$1:$H$19</definedName>
    <definedName name="_xlnm.Print_Area" localSheetId="137">'Motor Cooling Fan &amp; Cooling Cov'!#REF!</definedName>
    <definedName name="_xlnm.Print_Area" localSheetId="66">'Prashant Mech CPP'!$A$1:$H$80</definedName>
    <definedName name="_xlnm.Print_Area" localSheetId="121">'Reheater spray MOV'!$A$1:$I$7</definedName>
    <definedName name="_xlnm.Print_Area" localSheetId="67">'SND TSPL'!$A$1:$H$22</definedName>
    <definedName name="_xlnm.Print_Area" localSheetId="138">'SWAS Chinese conductivity senso'!#REF!</definedName>
    <definedName name="_xlnm.Print_Area" localSheetId="135">'Turbine fastener and accessorie'!#REF!</definedName>
    <definedName name="_xlnm.Print_Area" localSheetId="76">'YOX 280'!$A$1:$G$7</definedName>
    <definedName name="_xlnm.Print_Area" localSheetId="124">'YV1 &amp; YV2'!$A$1:$I$7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" i="161" l="1"/>
  <c r="H3" i="161" s="1"/>
  <c r="I6" i="143"/>
  <c r="I7" i="143"/>
  <c r="I8" i="143"/>
  <c r="H3" i="143"/>
  <c r="I3" i="143" s="1"/>
  <c r="H4" i="143"/>
  <c r="I4" i="143" s="1"/>
  <c r="H5" i="143"/>
  <c r="I5" i="143" s="1"/>
  <c r="H6" i="143"/>
  <c r="H7" i="143"/>
  <c r="H8" i="143"/>
  <c r="H2" i="143"/>
  <c r="A5" i="156"/>
  <c r="A4" i="156"/>
  <c r="A3" i="156"/>
  <c r="I2" i="156"/>
  <c r="I3" i="156" s="1"/>
  <c r="A2" i="156"/>
  <c r="A8" i="154"/>
  <c r="A7" i="154"/>
  <c r="A6" i="154"/>
  <c r="A5" i="154"/>
  <c r="I4" i="154"/>
  <c r="J4" i="154" s="1"/>
  <c r="A4" i="154"/>
  <c r="A3" i="154"/>
  <c r="J2" i="154"/>
  <c r="J6" i="154" s="1"/>
  <c r="I2" i="154"/>
  <c r="A2" i="154"/>
  <c r="A7" i="153"/>
  <c r="A6" i="153"/>
  <c r="A5" i="153"/>
  <c r="A4" i="153"/>
  <c r="H3" i="153"/>
  <c r="I3" i="153" s="1"/>
  <c r="A3" i="153"/>
  <c r="H2" i="153"/>
  <c r="I2" i="153" s="1"/>
  <c r="I5" i="153" s="1"/>
  <c r="A2" i="153"/>
  <c r="A6" i="152"/>
  <c r="A5" i="152"/>
  <c r="A4" i="152"/>
  <c r="H3" i="152"/>
  <c r="I3" i="152" s="1"/>
  <c r="A3" i="152"/>
  <c r="H2" i="152"/>
  <c r="I2" i="152" s="1"/>
  <c r="I4" i="152" s="1"/>
  <c r="A2" i="152"/>
  <c r="H2" i="151"/>
  <c r="H4" i="161" l="1"/>
  <c r="H5" i="161" s="1"/>
  <c r="I4" i="156"/>
  <c r="I5" i="156" s="1"/>
  <c r="J7" i="154"/>
  <c r="J8" i="154" s="1"/>
  <c r="I6" i="153"/>
  <c r="I7" i="153" s="1"/>
  <c r="I5" i="152"/>
  <c r="I6" i="152" s="1"/>
  <c r="A5" i="151"/>
  <c r="A4" i="151"/>
  <c r="A3" i="151"/>
  <c r="I2" i="151"/>
  <c r="I3" i="151" s="1"/>
  <c r="A2" i="151"/>
  <c r="I14" i="149"/>
  <c r="I13" i="149"/>
  <c r="H3" i="149"/>
  <c r="H4" i="149"/>
  <c r="H5" i="149"/>
  <c r="I5" i="149" s="1"/>
  <c r="H6" i="149"/>
  <c r="I6" i="149" s="1"/>
  <c r="H7" i="149"/>
  <c r="I7" i="149" s="1"/>
  <c r="H8" i="149"/>
  <c r="I8" i="149" s="1"/>
  <c r="H9" i="149"/>
  <c r="I9" i="149" s="1"/>
  <c r="H10" i="149"/>
  <c r="I10" i="149" s="1"/>
  <c r="H11" i="149"/>
  <c r="I11" i="149" s="1"/>
  <c r="H2" i="149"/>
  <c r="I2" i="149" s="1"/>
  <c r="I3" i="149"/>
  <c r="I4" i="149"/>
  <c r="H4" i="150"/>
  <c r="I4" i="150" s="1"/>
  <c r="H3" i="150"/>
  <c r="I3" i="150" s="1"/>
  <c r="H2" i="150"/>
  <c r="I4" i="151" l="1"/>
  <c r="I5" i="151" s="1"/>
  <c r="I12" i="149"/>
  <c r="A3" i="150"/>
  <c r="A4" i="150"/>
  <c r="A7" i="150"/>
  <c r="A6" i="150"/>
  <c r="A5" i="150"/>
  <c r="I2" i="150"/>
  <c r="I5" i="150" s="1"/>
  <c r="A2" i="150"/>
  <c r="I6" i="150" l="1"/>
  <c r="I7" i="150" s="1"/>
  <c r="A11" i="149"/>
  <c r="A10" i="149"/>
  <c r="A9" i="149"/>
  <c r="A8" i="149"/>
  <c r="A7" i="149"/>
  <c r="A6" i="149"/>
  <c r="A5" i="149"/>
  <c r="A4" i="149"/>
  <c r="A3" i="149"/>
  <c r="A2" i="149"/>
  <c r="K34" i="148"/>
  <c r="I34" i="148" s="1"/>
  <c r="J34" i="148" s="1"/>
  <c r="K32" i="148"/>
  <c r="I32" i="148" s="1"/>
  <c r="K31" i="148"/>
  <c r="I31" i="148" s="1"/>
  <c r="J31" i="148" s="1"/>
  <c r="K30" i="148"/>
  <c r="I30" i="148" s="1"/>
  <c r="J30" i="148" s="1"/>
  <c r="K28" i="148"/>
  <c r="I28" i="148" s="1"/>
  <c r="K26" i="148"/>
  <c r="I26" i="148" s="1"/>
  <c r="K25" i="148"/>
  <c r="I25" i="148" s="1"/>
  <c r="J25" i="148" s="1"/>
  <c r="K23" i="148"/>
  <c r="I23" i="148" s="1"/>
  <c r="J23" i="148" s="1"/>
  <c r="K21" i="148"/>
  <c r="I21" i="148" s="1"/>
  <c r="K20" i="148"/>
  <c r="I20" i="148" s="1"/>
  <c r="J20" i="148" s="1"/>
  <c r="K19" i="148"/>
  <c r="I19" i="148" s="1"/>
  <c r="K17" i="148"/>
  <c r="I17" i="148" s="1"/>
  <c r="J17" i="148" s="1"/>
  <c r="K16" i="148"/>
  <c r="I16" i="148" s="1"/>
  <c r="K15" i="148"/>
  <c r="I15" i="148" s="1"/>
  <c r="J15" i="148" s="1"/>
  <c r="K14" i="148"/>
  <c r="I14" i="148" s="1"/>
  <c r="J14" i="148" s="1"/>
  <c r="K13" i="148"/>
  <c r="I13" i="148" s="1"/>
  <c r="K12" i="148"/>
  <c r="I12" i="148" s="1"/>
  <c r="J12" i="148" s="1"/>
  <c r="K11" i="148"/>
  <c r="I11" i="148" s="1"/>
  <c r="J11" i="148" s="1"/>
  <c r="K10" i="148"/>
  <c r="I10" i="148" s="1"/>
  <c r="J10" i="148" s="1"/>
  <c r="K9" i="148"/>
  <c r="I9" i="148" s="1"/>
  <c r="J9" i="148" s="1"/>
  <c r="K8" i="148"/>
  <c r="I8" i="148" s="1"/>
  <c r="J8" i="148" s="1"/>
  <c r="K7" i="148"/>
  <c r="I7" i="148" s="1"/>
  <c r="J7" i="148" s="1"/>
  <c r="K6" i="148"/>
  <c r="I6" i="148" s="1"/>
  <c r="J6" i="148" s="1"/>
  <c r="K5" i="148"/>
  <c r="I5" i="148" s="1"/>
  <c r="J5" i="148" s="1"/>
  <c r="K4" i="148"/>
  <c r="I4" i="148" s="1"/>
  <c r="J4" i="148" s="1"/>
  <c r="K3" i="148"/>
  <c r="I3" i="148" s="1"/>
  <c r="J3" i="148" s="1"/>
  <c r="K2" i="148"/>
  <c r="I2" i="148" s="1"/>
  <c r="J13" i="148" l="1"/>
  <c r="J16" i="148"/>
  <c r="I18" i="148"/>
  <c r="J18" i="148" s="1"/>
  <c r="J19" i="148"/>
  <c r="J21" i="148"/>
  <c r="I22" i="148"/>
  <c r="J22" i="148" s="1"/>
  <c r="I24" i="148"/>
  <c r="J24" i="148" s="1"/>
  <c r="J26" i="148"/>
  <c r="I27" i="148"/>
  <c r="J27" i="148" s="1"/>
  <c r="J28" i="148"/>
  <c r="I29" i="148"/>
  <c r="J29" i="148" s="1"/>
  <c r="J32" i="148"/>
  <c r="I33" i="148"/>
  <c r="J33" i="148" s="1"/>
  <c r="I35" i="148"/>
  <c r="J35" i="148" s="1"/>
  <c r="J2" i="148"/>
  <c r="A38" i="148"/>
  <c r="A37" i="148"/>
  <c r="A36" i="148"/>
  <c r="J36" i="148" l="1"/>
  <c r="J37" i="148" s="1"/>
  <c r="J38" i="148" s="1"/>
  <c r="A35" i="148"/>
  <c r="A34" i="148"/>
  <c r="A33" i="148"/>
  <c r="A32" i="148"/>
  <c r="A31" i="148"/>
  <c r="A30" i="148"/>
  <c r="A29" i="148"/>
  <c r="A28" i="148"/>
  <c r="A27" i="148"/>
  <c r="A26" i="148"/>
  <c r="A25" i="148"/>
  <c r="A24" i="148"/>
  <c r="A23" i="148"/>
  <c r="A22" i="148"/>
  <c r="A21" i="148"/>
  <c r="A20" i="148"/>
  <c r="A19" i="148"/>
  <c r="A18" i="148"/>
  <c r="A17" i="148"/>
  <c r="A16" i="148"/>
  <c r="A15" i="148"/>
  <c r="A14" i="148"/>
  <c r="A13" i="148"/>
  <c r="A12" i="148"/>
  <c r="A11" i="148"/>
  <c r="A10" i="148"/>
  <c r="A9" i="148"/>
  <c r="A8" i="148"/>
  <c r="A7" i="148"/>
  <c r="A6" i="148"/>
  <c r="A5" i="148"/>
  <c r="A4" i="148"/>
  <c r="A3" i="148"/>
  <c r="A2" i="148"/>
  <c r="H3" i="144" l="1"/>
  <c r="I3" i="144" s="1"/>
  <c r="H2" i="144"/>
  <c r="I2" i="144" s="1"/>
  <c r="A5" i="146"/>
  <c r="A4" i="146"/>
  <c r="A3" i="146"/>
  <c r="H2" i="146"/>
  <c r="I2" i="146" s="1"/>
  <c r="I3" i="146" s="1"/>
  <c r="A2" i="146"/>
  <c r="A6" i="145"/>
  <c r="A5" i="145"/>
  <c r="A4" i="145"/>
  <c r="A3" i="145"/>
  <c r="H2" i="145"/>
  <c r="I2" i="145" s="1"/>
  <c r="I4" i="145" s="1"/>
  <c r="A2" i="145"/>
  <c r="A3" i="144"/>
  <c r="A6" i="144"/>
  <c r="A5" i="144"/>
  <c r="A4" i="144"/>
  <c r="A2" i="144"/>
  <c r="A3" i="143"/>
  <c r="A4" i="143"/>
  <c r="A5" i="143"/>
  <c r="A6" i="143"/>
  <c r="A7" i="143"/>
  <c r="A8" i="143"/>
  <c r="A11" i="143"/>
  <c r="A10" i="143"/>
  <c r="A9" i="143"/>
  <c r="I2" i="143"/>
  <c r="I9" i="143" s="1"/>
  <c r="A2" i="143"/>
  <c r="A5" i="142"/>
  <c r="A4" i="142"/>
  <c r="A3" i="142"/>
  <c r="H2" i="142"/>
  <c r="I2" i="142" s="1"/>
  <c r="I3" i="142" s="1"/>
  <c r="A2" i="142"/>
  <c r="J2" i="138"/>
  <c r="I10" i="143" l="1"/>
  <c r="I11" i="143" s="1"/>
  <c r="I4" i="144"/>
  <c r="I5" i="144" s="1"/>
  <c r="I6" i="144" s="1"/>
  <c r="I4" i="146"/>
  <c r="I5" i="146" s="1"/>
  <c r="I5" i="145"/>
  <c r="I6" i="145" s="1"/>
  <c r="I4" i="142"/>
  <c r="I5" i="142" s="1"/>
  <c r="A5" i="141"/>
  <c r="A4" i="141"/>
  <c r="A3" i="141"/>
  <c r="H2" i="141"/>
  <c r="I2" i="141" s="1"/>
  <c r="I3" i="141" s="1"/>
  <c r="A2" i="141"/>
  <c r="A5" i="140"/>
  <c r="A4" i="140"/>
  <c r="A3" i="140"/>
  <c r="H2" i="140"/>
  <c r="I2" i="140" s="1"/>
  <c r="I3" i="140" s="1"/>
  <c r="A2" i="140"/>
  <c r="A19" i="139"/>
  <c r="A18" i="139"/>
  <c r="A17" i="139"/>
  <c r="A16" i="139"/>
  <c r="A15" i="139"/>
  <c r="A14" i="139"/>
  <c r="A13" i="139"/>
  <c r="A12" i="139"/>
  <c r="A11" i="139"/>
  <c r="A10" i="139"/>
  <c r="A9" i="139"/>
  <c r="A8" i="139"/>
  <c r="A7" i="139"/>
  <c r="A6" i="139"/>
  <c r="A5" i="139"/>
  <c r="A4" i="139"/>
  <c r="A3" i="139"/>
  <c r="H2" i="139"/>
  <c r="I2" i="139" s="1"/>
  <c r="I17" i="139" s="1"/>
  <c r="A2" i="139"/>
  <c r="H3" i="134"/>
  <c r="H4" i="134"/>
  <c r="H5" i="134"/>
  <c r="H2" i="134"/>
  <c r="I4" i="141" l="1"/>
  <c r="I5" i="141" s="1"/>
  <c r="I18" i="139"/>
  <c r="I19" i="139" s="1"/>
  <c r="I4" i="140"/>
  <c r="I5" i="140" s="1"/>
  <c r="A5" i="138"/>
  <c r="A4" i="138"/>
  <c r="A3" i="138"/>
  <c r="H2" i="138"/>
  <c r="I2" i="138" s="1"/>
  <c r="I3" i="138" s="1"/>
  <c r="A2" i="138"/>
  <c r="I4" i="138" l="1"/>
  <c r="I5" i="138" s="1"/>
  <c r="J3" i="137"/>
  <c r="H3" i="137" s="1"/>
  <c r="J2" i="137"/>
  <c r="H2" i="137" s="1"/>
  <c r="H2" i="98" l="1"/>
  <c r="A6" i="137" l="1"/>
  <c r="A5" i="137"/>
  <c r="A4" i="137"/>
  <c r="I3" i="137"/>
  <c r="A3" i="137"/>
  <c r="I2" i="137"/>
  <c r="A2" i="137"/>
  <c r="I4" i="137" l="1"/>
  <c r="I5" i="137" s="1"/>
  <c r="I6" i="137" l="1"/>
  <c r="H2" i="101"/>
  <c r="N6" i="101"/>
  <c r="O6" i="101" s="1"/>
  <c r="H2" i="136"/>
  <c r="A5" i="136" l="1"/>
  <c r="A4" i="136"/>
  <c r="A3" i="136"/>
  <c r="I2" i="136"/>
  <c r="I3" i="136" s="1"/>
  <c r="A2" i="136"/>
  <c r="I4" i="136" l="1"/>
  <c r="I5" i="136" s="1"/>
  <c r="H2" i="114"/>
  <c r="L3" i="114"/>
  <c r="M3" i="127"/>
  <c r="M2" i="127"/>
  <c r="M4" i="127" s="1"/>
  <c r="A14" i="135"/>
  <c r="A13" i="135"/>
  <c r="A12" i="135"/>
  <c r="A11" i="135"/>
  <c r="A10" i="135"/>
  <c r="A9" i="135"/>
  <c r="A8" i="135"/>
  <c r="A7" i="135"/>
  <c r="A6" i="135"/>
  <c r="A5" i="135"/>
  <c r="A4" i="135"/>
  <c r="A3" i="135"/>
  <c r="I2" i="135"/>
  <c r="I12" i="135" s="1"/>
  <c r="A2" i="135"/>
  <c r="I3" i="134"/>
  <c r="I4" i="134"/>
  <c r="I5" i="134"/>
  <c r="I2" i="134"/>
  <c r="I6" i="134" s="1"/>
  <c r="A8" i="134"/>
  <c r="A7" i="134"/>
  <c r="A6" i="134"/>
  <c r="A5" i="134"/>
  <c r="A4" i="134"/>
  <c r="A3" i="134"/>
  <c r="A2" i="134"/>
  <c r="A5" i="133"/>
  <c r="A4" i="133"/>
  <c r="A3" i="133"/>
  <c r="I2" i="133"/>
  <c r="I3" i="133" s="1"/>
  <c r="A2" i="133"/>
  <c r="A10" i="132"/>
  <c r="A9" i="132"/>
  <c r="A8" i="132"/>
  <c r="A7" i="132"/>
  <c r="A6" i="132"/>
  <c r="A5" i="132"/>
  <c r="I4" i="132"/>
  <c r="A4" i="132"/>
  <c r="I3" i="132"/>
  <c r="A3" i="132"/>
  <c r="I2" i="132"/>
  <c r="I8" i="132" s="1"/>
  <c r="A2" i="132"/>
  <c r="A14" i="128"/>
  <c r="A3" i="128"/>
  <c r="A4" i="128"/>
  <c r="A5" i="128"/>
  <c r="A6" i="128"/>
  <c r="A7" i="128"/>
  <c r="A8" i="128"/>
  <c r="A9" i="128"/>
  <c r="A10" i="128"/>
  <c r="A11" i="128"/>
  <c r="A12" i="128"/>
  <c r="A13" i="128"/>
  <c r="A15" i="128"/>
  <c r="A16" i="128"/>
  <c r="A17" i="128"/>
  <c r="A2" i="128"/>
  <c r="A7" i="131"/>
  <c r="A6" i="131"/>
  <c r="A5" i="131"/>
  <c r="H4" i="131"/>
  <c r="I4" i="131" s="1"/>
  <c r="A4" i="131"/>
  <c r="H3" i="131"/>
  <c r="I3" i="131" s="1"/>
  <c r="A3" i="131"/>
  <c r="H2" i="131"/>
  <c r="I2" i="131" s="1"/>
  <c r="A2" i="131"/>
  <c r="I7" i="134" l="1"/>
  <c r="I8" i="134" s="1"/>
  <c r="I13" i="135"/>
  <c r="I14" i="135" s="1"/>
  <c r="I4" i="133"/>
  <c r="I5" i="133" s="1"/>
  <c r="I9" i="132"/>
  <c r="I10" i="132" s="1"/>
  <c r="I5" i="131"/>
  <c r="H3" i="130"/>
  <c r="I3" i="130" s="1"/>
  <c r="H4" i="130"/>
  <c r="I4" i="130" s="1"/>
  <c r="H5" i="130"/>
  <c r="H2" i="130"/>
  <c r="I2" i="130" s="1"/>
  <c r="I5" i="130"/>
  <c r="A3" i="130"/>
  <c r="A4" i="130"/>
  <c r="A5" i="130"/>
  <c r="A6" i="130"/>
  <c r="A7" i="130"/>
  <c r="A8" i="130"/>
  <c r="A2" i="130"/>
  <c r="H3" i="124"/>
  <c r="H4" i="124"/>
  <c r="H5" i="124"/>
  <c r="H6" i="124"/>
  <c r="H7" i="124"/>
  <c r="H8" i="124"/>
  <c r="H9" i="124"/>
  <c r="H10" i="124"/>
  <c r="H11" i="124"/>
  <c r="H12" i="124"/>
  <c r="H13" i="124"/>
  <c r="H14" i="124"/>
  <c r="H15" i="124"/>
  <c r="H16" i="124"/>
  <c r="H17" i="124"/>
  <c r="H18" i="124"/>
  <c r="H19" i="124"/>
  <c r="H20" i="124"/>
  <c r="H2" i="124"/>
  <c r="H2" i="129"/>
  <c r="I2" i="129" s="1"/>
  <c r="I3" i="129" s="1"/>
  <c r="Q21" i="124"/>
  <c r="T3" i="124"/>
  <c r="U3" i="124" s="1"/>
  <c r="T4" i="124"/>
  <c r="U4" i="124" s="1"/>
  <c r="T5" i="124"/>
  <c r="U5" i="124" s="1"/>
  <c r="T6" i="124"/>
  <c r="U6" i="124" s="1"/>
  <c r="T7" i="124"/>
  <c r="U7" i="124" s="1"/>
  <c r="T8" i="124"/>
  <c r="U8" i="124" s="1"/>
  <c r="T9" i="124"/>
  <c r="U9" i="124" s="1"/>
  <c r="T10" i="124"/>
  <c r="U10" i="124"/>
  <c r="T11" i="124"/>
  <c r="U11" i="124" s="1"/>
  <c r="T12" i="124"/>
  <c r="U12" i="124" s="1"/>
  <c r="T13" i="124"/>
  <c r="U13" i="124"/>
  <c r="T14" i="124"/>
  <c r="U14" i="124" s="1"/>
  <c r="T15" i="124"/>
  <c r="U15" i="124" s="1"/>
  <c r="T16" i="124"/>
  <c r="U16" i="124" s="1"/>
  <c r="T17" i="124"/>
  <c r="U17" i="124"/>
  <c r="T18" i="124"/>
  <c r="U18" i="124" s="1"/>
  <c r="T19" i="124"/>
  <c r="U19" i="124" s="1"/>
  <c r="T20" i="124"/>
  <c r="U20" i="124" s="1"/>
  <c r="T2" i="124"/>
  <c r="U2" i="124" s="1"/>
  <c r="I6" i="131" l="1"/>
  <c r="I7" i="131"/>
  <c r="I6" i="130"/>
  <c r="I7" i="130" s="1"/>
  <c r="I8" i="130" s="1"/>
  <c r="I4" i="129"/>
  <c r="I5" i="129" s="1"/>
  <c r="U21" i="124"/>
  <c r="H3" i="127"/>
  <c r="H2" i="127"/>
  <c r="H13" i="128"/>
  <c r="I13" i="128" s="1"/>
  <c r="I15" i="128" s="1"/>
  <c r="I16" i="128" l="1"/>
  <c r="I17" i="128" s="1"/>
  <c r="A3" i="122" l="1"/>
  <c r="A4" i="122"/>
  <c r="A5" i="122"/>
  <c r="A6" i="122"/>
  <c r="A7" i="122"/>
  <c r="A8" i="122"/>
  <c r="A2" i="122"/>
  <c r="A6" i="127" l="1"/>
  <c r="A5" i="127"/>
  <c r="A4" i="127"/>
  <c r="I3" i="127"/>
  <c r="I2" i="127"/>
  <c r="I4" i="127" l="1"/>
  <c r="I5" i="127" l="1"/>
  <c r="I6" i="127" s="1"/>
  <c r="M3" i="115" l="1"/>
  <c r="Q3" i="124" l="1"/>
  <c r="R3" i="124" s="1"/>
  <c r="Q4" i="124"/>
  <c r="R4" i="124" s="1"/>
  <c r="Q5" i="124"/>
  <c r="Q6" i="124"/>
  <c r="R6" i="124" s="1"/>
  <c r="Q7" i="124"/>
  <c r="R7" i="124" s="1"/>
  <c r="Q8" i="124"/>
  <c r="R8" i="124" s="1"/>
  <c r="Q9" i="124"/>
  <c r="Q10" i="124"/>
  <c r="R10" i="124" s="1"/>
  <c r="Q11" i="124"/>
  <c r="R11" i="124" s="1"/>
  <c r="Q12" i="124"/>
  <c r="R12" i="124" s="1"/>
  <c r="Q13" i="124"/>
  <c r="R13" i="124" s="1"/>
  <c r="Q14" i="124"/>
  <c r="R14" i="124" s="1"/>
  <c r="Q15" i="124"/>
  <c r="R15" i="124" s="1"/>
  <c r="Q16" i="124"/>
  <c r="Q17" i="124"/>
  <c r="Q18" i="124"/>
  <c r="R18" i="124" s="1"/>
  <c r="Q19" i="124"/>
  <c r="R19" i="124" s="1"/>
  <c r="Q20" i="124"/>
  <c r="R20" i="124" s="1"/>
  <c r="Q2" i="124"/>
  <c r="R2" i="124" s="1"/>
  <c r="R9" i="124"/>
  <c r="R16" i="124"/>
  <c r="R5" i="124"/>
  <c r="R17" i="124"/>
  <c r="P3" i="124"/>
  <c r="P4" i="124"/>
  <c r="P5" i="124"/>
  <c r="P6" i="124"/>
  <c r="P7" i="124"/>
  <c r="P8" i="124"/>
  <c r="P9" i="124"/>
  <c r="P10" i="124"/>
  <c r="P11" i="124"/>
  <c r="P12" i="124"/>
  <c r="P13" i="124"/>
  <c r="P14" i="124"/>
  <c r="P15" i="124"/>
  <c r="P16" i="124"/>
  <c r="P17" i="124"/>
  <c r="P18" i="124"/>
  <c r="P19" i="124"/>
  <c r="P20" i="124"/>
  <c r="P2" i="124"/>
  <c r="H2" i="121"/>
  <c r="I2" i="121" s="1"/>
  <c r="I3" i="121" s="1"/>
  <c r="H2" i="125"/>
  <c r="I2" i="125" s="1"/>
  <c r="I3" i="125" s="1"/>
  <c r="A5" i="125"/>
  <c r="A4" i="125"/>
  <c r="A3" i="125"/>
  <c r="I3" i="124"/>
  <c r="I4" i="124"/>
  <c r="I5" i="124"/>
  <c r="I6" i="124"/>
  <c r="I7" i="124"/>
  <c r="I8" i="124"/>
  <c r="I9" i="124"/>
  <c r="I10" i="124"/>
  <c r="I11" i="124"/>
  <c r="I12" i="124"/>
  <c r="I13" i="124"/>
  <c r="I14" i="124"/>
  <c r="I15" i="124"/>
  <c r="I16" i="124"/>
  <c r="I17" i="124"/>
  <c r="I18" i="124"/>
  <c r="I19" i="124"/>
  <c r="I20" i="124"/>
  <c r="A3" i="124"/>
  <c r="A4" i="124"/>
  <c r="A5" i="124"/>
  <c r="A6" i="124"/>
  <c r="A7" i="124"/>
  <c r="A8" i="124"/>
  <c r="A9" i="124"/>
  <c r="A10" i="124"/>
  <c r="A11" i="124"/>
  <c r="A12" i="124"/>
  <c r="A13" i="124"/>
  <c r="A14" i="124"/>
  <c r="A15" i="124"/>
  <c r="A16" i="124"/>
  <c r="A17" i="124"/>
  <c r="A18" i="124"/>
  <c r="A19" i="124"/>
  <c r="A20" i="124"/>
  <c r="A21" i="124"/>
  <c r="A22" i="124"/>
  <c r="A23" i="124"/>
  <c r="A2" i="124"/>
  <c r="I2" i="124"/>
  <c r="P21" i="124" l="1"/>
  <c r="P23" i="124" s="1"/>
  <c r="I21" i="124"/>
  <c r="I22" i="124" s="1"/>
  <c r="I23" i="124" s="1"/>
  <c r="I4" i="121"/>
  <c r="I5" i="121" s="1"/>
  <c r="R21" i="124"/>
  <c r="I4" i="125"/>
  <c r="I5" i="125" s="1"/>
  <c r="L18" i="124" l="1"/>
  <c r="M18" i="124" s="1"/>
  <c r="N18" i="124" s="1"/>
  <c r="L7" i="124"/>
  <c r="M7" i="124" s="1"/>
  <c r="N7" i="124" s="1"/>
  <c r="L20" i="124"/>
  <c r="M20" i="124" s="1"/>
  <c r="N20" i="124" s="1"/>
  <c r="L10" i="124"/>
  <c r="M10" i="124" s="1"/>
  <c r="N10" i="124" s="1"/>
  <c r="L11" i="124"/>
  <c r="M11" i="124" s="1"/>
  <c r="N11" i="124" s="1"/>
  <c r="L9" i="124"/>
  <c r="M9" i="124" s="1"/>
  <c r="N9" i="124" s="1"/>
  <c r="L15" i="124"/>
  <c r="M15" i="124" s="1"/>
  <c r="N15" i="124" s="1"/>
  <c r="L12" i="124"/>
  <c r="M12" i="124" s="1"/>
  <c r="N12" i="124" s="1"/>
  <c r="L4" i="124"/>
  <c r="M4" i="124" s="1"/>
  <c r="N4" i="124" s="1"/>
  <c r="L13" i="124"/>
  <c r="M13" i="124" s="1"/>
  <c r="N13" i="124" s="1"/>
  <c r="L17" i="124"/>
  <c r="M17" i="124" s="1"/>
  <c r="N17" i="124" s="1"/>
  <c r="L14" i="124"/>
  <c r="M14" i="124" s="1"/>
  <c r="N14" i="124" s="1"/>
  <c r="L6" i="124"/>
  <c r="M6" i="124" s="1"/>
  <c r="N6" i="124" s="1"/>
  <c r="L3" i="124"/>
  <c r="M3" i="124" s="1"/>
  <c r="N3" i="124" s="1"/>
  <c r="L19" i="124"/>
  <c r="M19" i="124" s="1"/>
  <c r="N19" i="124" s="1"/>
  <c r="L16" i="124"/>
  <c r="M16" i="124" s="1"/>
  <c r="N16" i="124" s="1"/>
  <c r="L2" i="124"/>
  <c r="M2" i="124" s="1"/>
  <c r="L5" i="124"/>
  <c r="M5" i="124" s="1"/>
  <c r="N5" i="124" s="1"/>
  <c r="L8" i="124"/>
  <c r="M8" i="124" s="1"/>
  <c r="N8" i="124" s="1"/>
  <c r="H3" i="123"/>
  <c r="I3" i="123" s="1"/>
  <c r="H2" i="123"/>
  <c r="I2" i="123" s="1"/>
  <c r="A6" i="123"/>
  <c r="A5" i="123"/>
  <c r="A4" i="123"/>
  <c r="N2" i="124" l="1"/>
  <c r="M21" i="124"/>
  <c r="I4" i="123"/>
  <c r="I5" i="123" s="1"/>
  <c r="I6" i="123" s="1"/>
  <c r="H5" i="122"/>
  <c r="I5" i="122" s="1"/>
  <c r="I6" i="122" s="1"/>
  <c r="I7" i="122" l="1"/>
  <c r="I8" i="122" s="1"/>
  <c r="A5" i="121" l="1"/>
  <c r="A4" i="121"/>
  <c r="A3" i="121"/>
  <c r="H3" i="120"/>
  <c r="I3" i="120" s="1"/>
  <c r="H4" i="120"/>
  <c r="I4" i="120" s="1"/>
  <c r="H2" i="120"/>
  <c r="I2" i="120" s="1"/>
  <c r="M3" i="119"/>
  <c r="J3" i="119" s="1"/>
  <c r="M4" i="119"/>
  <c r="N4" i="119" s="1"/>
  <c r="M5" i="119"/>
  <c r="J5" i="119" s="1"/>
  <c r="M6" i="119"/>
  <c r="J6" i="119" s="1"/>
  <c r="M7" i="119"/>
  <c r="M8" i="119"/>
  <c r="J8" i="119" s="1"/>
  <c r="H8" i="119" s="1"/>
  <c r="I8" i="119" s="1"/>
  <c r="M9" i="119"/>
  <c r="J9" i="119" s="1"/>
  <c r="H9" i="119" s="1"/>
  <c r="I9" i="119" s="1"/>
  <c r="M10" i="119"/>
  <c r="J10" i="119" s="1"/>
  <c r="H10" i="119" s="1"/>
  <c r="I10" i="119" s="1"/>
  <c r="M11" i="119"/>
  <c r="M12" i="119"/>
  <c r="J12" i="119" s="1"/>
  <c r="H12" i="119" s="1"/>
  <c r="I12" i="119" s="1"/>
  <c r="M13" i="119"/>
  <c r="M14" i="119"/>
  <c r="M15" i="119"/>
  <c r="M16" i="119"/>
  <c r="M17" i="119"/>
  <c r="M2" i="119"/>
  <c r="J2" i="119" s="1"/>
  <c r="A7" i="120"/>
  <c r="A6" i="120"/>
  <c r="A5" i="120"/>
  <c r="J13" i="119" l="1"/>
  <c r="H13" i="119" s="1"/>
  <c r="I13" i="119" s="1"/>
  <c r="J11" i="119"/>
  <c r="H11" i="119" s="1"/>
  <c r="I11" i="119" s="1"/>
  <c r="J7" i="119"/>
  <c r="H7" i="119" s="1"/>
  <c r="I7" i="119" s="1"/>
  <c r="J16" i="119"/>
  <c r="H16" i="119" s="1"/>
  <c r="I16" i="119" s="1"/>
  <c r="N5" i="119"/>
  <c r="J15" i="119"/>
  <c r="H15" i="119" s="1"/>
  <c r="I15" i="119" s="1"/>
  <c r="J14" i="119"/>
  <c r="H14" i="119" s="1"/>
  <c r="I14" i="119" s="1"/>
  <c r="N6" i="119"/>
  <c r="J17" i="119"/>
  <c r="H17" i="119" s="1"/>
  <c r="I17" i="119" s="1"/>
  <c r="N2" i="119"/>
  <c r="N3" i="119"/>
  <c r="J4" i="119"/>
  <c r="H4" i="119" s="1"/>
  <c r="I4" i="119" s="1"/>
  <c r="H5" i="119"/>
  <c r="I5" i="119" s="1"/>
  <c r="H2" i="119"/>
  <c r="I2" i="119" s="1"/>
  <c r="H6" i="119"/>
  <c r="I6" i="119" s="1"/>
  <c r="H3" i="119"/>
  <c r="I3" i="119" s="1"/>
  <c r="I5" i="120"/>
  <c r="I6" i="120" s="1"/>
  <c r="I7" i="120" s="1"/>
  <c r="A20" i="119"/>
  <c r="A19" i="119"/>
  <c r="A18" i="119"/>
  <c r="A17" i="119"/>
  <c r="A16" i="119"/>
  <c r="A15" i="119"/>
  <c r="A14" i="119"/>
  <c r="A13" i="119"/>
  <c r="A12" i="119"/>
  <c r="A11" i="119"/>
  <c r="A10" i="119"/>
  <c r="A9" i="119"/>
  <c r="A8" i="119"/>
  <c r="A7" i="119"/>
  <c r="A6" i="119"/>
  <c r="A5" i="119"/>
  <c r="A4" i="119"/>
  <c r="A3" i="119"/>
  <c r="A2" i="119"/>
  <c r="I18" i="119" l="1"/>
  <c r="I19" i="119" s="1"/>
  <c r="I20" i="119" s="1"/>
  <c r="H3" i="118"/>
  <c r="I3" i="118" s="1"/>
  <c r="H2" i="118"/>
  <c r="I2" i="118" s="1"/>
  <c r="I4" i="118" s="1"/>
  <c r="A6" i="118" l="1"/>
  <c r="A5" i="118"/>
  <c r="A4" i="118"/>
  <c r="I5" i="118" l="1"/>
  <c r="I6" i="118" s="1"/>
  <c r="H2" i="117"/>
  <c r="I2" i="117" s="1"/>
  <c r="I3" i="117" s="1"/>
  <c r="I4" i="117" l="1"/>
  <c r="I5" i="117" s="1"/>
  <c r="A5" i="117"/>
  <c r="A4" i="117"/>
  <c r="A3" i="117"/>
  <c r="A6" i="116"/>
  <c r="A5" i="116"/>
  <c r="A4" i="116"/>
  <c r="H3" i="116"/>
  <c r="I3" i="116" s="1"/>
  <c r="I4" i="116" s="1"/>
  <c r="A5" i="115"/>
  <c r="A4" i="115"/>
  <c r="A3" i="115"/>
  <c r="H2" i="115"/>
  <c r="I2" i="115" s="1"/>
  <c r="I3" i="115" s="1"/>
  <c r="I4" i="115" l="1"/>
  <c r="I5" i="115" s="1"/>
  <c r="I5" i="116"/>
  <c r="I6" i="116" s="1"/>
  <c r="I2" i="114" l="1"/>
  <c r="I3" i="114" s="1"/>
  <c r="I4" i="114" l="1"/>
  <c r="I5" i="114" s="1"/>
  <c r="A5" i="114"/>
  <c r="A4" i="114"/>
  <c r="A3" i="114"/>
  <c r="I3" i="112" l="1"/>
  <c r="I2" i="112"/>
  <c r="I4" i="112" s="1"/>
  <c r="A9" i="113"/>
  <c r="A8" i="113"/>
  <c r="I7" i="113"/>
  <c r="A7" i="113"/>
  <c r="A6" i="112"/>
  <c r="A5" i="112"/>
  <c r="A4" i="112"/>
  <c r="I5" i="112" l="1"/>
  <c r="I6" i="112" s="1"/>
  <c r="I8" i="113"/>
  <c r="I9" i="113" s="1"/>
  <c r="A5" i="111" l="1"/>
  <c r="A4" i="111"/>
  <c r="I3" i="111"/>
  <c r="A3" i="111"/>
  <c r="I4" i="111" l="1"/>
  <c r="I5" i="111" s="1"/>
  <c r="I6" i="110"/>
  <c r="A8" i="110"/>
  <c r="A7" i="110"/>
  <c r="A6" i="110"/>
  <c r="I7" i="110" l="1"/>
  <c r="I8" i="110" s="1"/>
  <c r="F2" i="95"/>
  <c r="G9" i="82" l="1"/>
  <c r="H12" i="101" l="1"/>
  <c r="I12" i="101" s="1"/>
  <c r="A12" i="101"/>
  <c r="A14" i="109" l="1"/>
  <c r="A13" i="109"/>
  <c r="A12" i="109"/>
  <c r="H11" i="109"/>
  <c r="I11" i="109" s="1"/>
  <c r="H10" i="109"/>
  <c r="I10" i="109" s="1"/>
  <c r="I12" i="109" s="1"/>
  <c r="A10" i="109"/>
  <c r="I13" i="109" l="1"/>
  <c r="I14" i="109" s="1"/>
  <c r="H2" i="106" l="1"/>
  <c r="I2" i="106" s="1"/>
  <c r="H3" i="106"/>
  <c r="H3" i="108" l="1"/>
  <c r="I3" i="108" s="1"/>
  <c r="A2" i="108"/>
  <c r="A6" i="108"/>
  <c r="A5" i="108"/>
  <c r="A4" i="108"/>
  <c r="H2" i="108"/>
  <c r="I2" i="108" s="1"/>
  <c r="I4" i="108" s="1"/>
  <c r="I5" i="108" l="1"/>
  <c r="I6" i="108" s="1"/>
  <c r="J2" i="107"/>
  <c r="H2" i="107" s="1"/>
  <c r="I2" i="107" s="1"/>
  <c r="I3" i="107" l="1"/>
  <c r="I4" i="107" l="1"/>
  <c r="I5" i="107" s="1"/>
  <c r="A5" i="107"/>
  <c r="A4" i="107"/>
  <c r="A3" i="107"/>
  <c r="A6" i="106"/>
  <c r="A5" i="106"/>
  <c r="A4" i="106"/>
  <c r="I3" i="106"/>
  <c r="I4" i="106" s="1"/>
  <c r="A3" i="106"/>
  <c r="I5" i="106" l="1"/>
  <c r="I6" i="106" s="1"/>
  <c r="K7" i="105"/>
  <c r="L3" i="105" l="1"/>
  <c r="L4" i="105" s="1"/>
  <c r="L5" i="105" s="1"/>
  <c r="L7" i="105"/>
  <c r="M3" i="105"/>
  <c r="M4" i="105" s="1"/>
  <c r="M5" i="105" s="1"/>
  <c r="K3" i="105" l="1"/>
  <c r="K4" i="105" s="1"/>
  <c r="K5" i="105" s="1"/>
  <c r="A5" i="105"/>
  <c r="A4" i="105"/>
  <c r="A3" i="105"/>
  <c r="I2" i="105"/>
  <c r="I3" i="105" s="1"/>
  <c r="A2" i="105"/>
  <c r="I4" i="105" l="1"/>
  <c r="I5" i="105" s="1"/>
  <c r="H3" i="104"/>
  <c r="I3" i="104" s="1"/>
  <c r="H4" i="104"/>
  <c r="I4" i="104" s="1"/>
  <c r="H5" i="104"/>
  <c r="I5" i="104" s="1"/>
  <c r="H6" i="104"/>
  <c r="I6" i="104" s="1"/>
  <c r="H7" i="104"/>
  <c r="I7" i="104" s="1"/>
  <c r="H8" i="104"/>
  <c r="I8" i="104" s="1"/>
  <c r="H9" i="104"/>
  <c r="I9" i="104" s="1"/>
  <c r="H10" i="104"/>
  <c r="I10" i="104" s="1"/>
  <c r="H11" i="104"/>
  <c r="I11" i="104"/>
  <c r="H12" i="104"/>
  <c r="I12" i="104" s="1"/>
  <c r="H13" i="104"/>
  <c r="I13" i="104"/>
  <c r="H14" i="104"/>
  <c r="I14" i="104" s="1"/>
  <c r="A4" i="104"/>
  <c r="A5" i="104"/>
  <c r="A6" i="104"/>
  <c r="A7" i="104"/>
  <c r="A8" i="104"/>
  <c r="A9" i="104"/>
  <c r="A10" i="104"/>
  <c r="A11" i="104"/>
  <c r="A12" i="104"/>
  <c r="A13" i="104"/>
  <c r="A14" i="104"/>
  <c r="A17" i="104"/>
  <c r="A16" i="104"/>
  <c r="A15" i="104"/>
  <c r="A3" i="104"/>
  <c r="H2" i="104"/>
  <c r="I2" i="104" s="1"/>
  <c r="I15" i="104" s="1"/>
  <c r="A2" i="104"/>
  <c r="A6" i="103"/>
  <c r="A5" i="103"/>
  <c r="A4" i="103"/>
  <c r="H3" i="103"/>
  <c r="I3" i="103" s="1"/>
  <c r="A3" i="103"/>
  <c r="H2" i="103"/>
  <c r="I2" i="103" s="1"/>
  <c r="I4" i="103" s="1"/>
  <c r="A2" i="103"/>
  <c r="H3" i="102"/>
  <c r="I3" i="102" s="1"/>
  <c r="H4" i="102"/>
  <c r="I4" i="102"/>
  <c r="A4" i="102"/>
  <c r="A3" i="102"/>
  <c r="A7" i="102"/>
  <c r="A6" i="102"/>
  <c r="A5" i="102"/>
  <c r="H2" i="102"/>
  <c r="I2" i="102" s="1"/>
  <c r="I5" i="102" s="1"/>
  <c r="A2" i="102"/>
  <c r="I16" i="104" l="1"/>
  <c r="I17" i="104" s="1"/>
  <c r="I5" i="103"/>
  <c r="I6" i="103" s="1"/>
  <c r="I6" i="102"/>
  <c r="I7" i="102" s="1"/>
  <c r="A5" i="101" l="1"/>
  <c r="A4" i="101"/>
  <c r="A3" i="101"/>
  <c r="A2" i="101"/>
  <c r="H3" i="97" l="1"/>
  <c r="H2" i="97"/>
  <c r="I2" i="98" l="1"/>
  <c r="I3" i="98" s="1"/>
  <c r="I4" i="98" l="1"/>
  <c r="I5" i="98" s="1"/>
  <c r="H3" i="100"/>
  <c r="I3" i="100" s="1"/>
  <c r="H4" i="100"/>
  <c r="I4" i="100" s="1"/>
  <c r="H5" i="100"/>
  <c r="I5" i="100" s="1"/>
  <c r="H6" i="100"/>
  <c r="I6" i="100" s="1"/>
  <c r="H7" i="100"/>
  <c r="I7" i="100" s="1"/>
  <c r="H2" i="100"/>
  <c r="I2" i="100" s="1"/>
  <c r="A4" i="100"/>
  <c r="A5" i="100"/>
  <c r="A6" i="100"/>
  <c r="A7" i="100"/>
  <c r="A10" i="100"/>
  <c r="A9" i="100"/>
  <c r="A8" i="100"/>
  <c r="A3" i="100"/>
  <c r="A2" i="100"/>
  <c r="I8" i="100" l="1"/>
  <c r="I9" i="100" s="1"/>
  <c r="I10" i="100" s="1"/>
  <c r="A3" i="99"/>
  <c r="A6" i="99"/>
  <c r="A5" i="99"/>
  <c r="A4" i="99"/>
  <c r="H4" i="99"/>
  <c r="A2" i="99"/>
  <c r="H5" i="99" l="1"/>
  <c r="H6" i="99" s="1"/>
  <c r="A5" i="98"/>
  <c r="A4" i="98"/>
  <c r="A3" i="98"/>
  <c r="A2" i="98"/>
  <c r="I3" i="97" l="1"/>
  <c r="I2" i="97"/>
  <c r="A3" i="97"/>
  <c r="A6" i="97"/>
  <c r="A5" i="97"/>
  <c r="A4" i="97"/>
  <c r="A2" i="97"/>
  <c r="I4" i="97" l="1"/>
  <c r="I5" i="97" s="1"/>
  <c r="I6" i="97" s="1"/>
  <c r="G2" i="96"/>
  <c r="H2" i="96" s="1"/>
  <c r="H3" i="96" s="1"/>
  <c r="A5" i="96"/>
  <c r="A4" i="96"/>
  <c r="A3" i="96"/>
  <c r="A2" i="96"/>
  <c r="H4" i="96" l="1"/>
  <c r="H5" i="96" s="1"/>
  <c r="G2" i="95"/>
  <c r="G3" i="95" s="1"/>
  <c r="A5" i="95"/>
  <c r="A4" i="95"/>
  <c r="A3" i="95"/>
  <c r="A2" i="95"/>
  <c r="G4" i="95" l="1"/>
  <c r="G5" i="95" s="1"/>
  <c r="G36" i="92"/>
  <c r="H36" i="92" s="1"/>
  <c r="G24" i="92" l="1"/>
  <c r="G19" i="91"/>
  <c r="G4" i="94" l="1"/>
  <c r="H4" i="94" s="1"/>
  <c r="G3" i="94"/>
  <c r="H3" i="94" s="1"/>
  <c r="G2" i="94"/>
  <c r="H2" i="94" s="1"/>
  <c r="H5" i="94" l="1"/>
  <c r="H6" i="94" s="1"/>
  <c r="H7" i="94" s="1"/>
  <c r="A7" i="94"/>
  <c r="A6" i="94"/>
  <c r="A5" i="94"/>
  <c r="A4" i="94"/>
  <c r="A3" i="94"/>
  <c r="A2" i="94"/>
  <c r="I14" i="92" l="1"/>
  <c r="G25" i="92" l="1"/>
  <c r="G14" i="91"/>
  <c r="G15" i="91" l="1"/>
  <c r="G12" i="91"/>
  <c r="I9" i="92" l="1"/>
  <c r="G22" i="91"/>
  <c r="G13" i="91"/>
  <c r="G8" i="91"/>
  <c r="A3" i="93" l="1"/>
  <c r="A4" i="93"/>
  <c r="A5" i="93"/>
  <c r="A6" i="93"/>
  <c r="A7" i="93"/>
  <c r="A8" i="93"/>
  <c r="A9" i="93"/>
  <c r="A10" i="93"/>
  <c r="A11" i="93"/>
  <c r="A12" i="93"/>
  <c r="A13" i="93"/>
  <c r="A14" i="93"/>
  <c r="A15" i="93"/>
  <c r="A16" i="93"/>
  <c r="A17" i="93"/>
  <c r="A18" i="93"/>
  <c r="A19" i="93"/>
  <c r="A20" i="93"/>
  <c r="A21" i="93"/>
  <c r="A22" i="93"/>
  <c r="A23" i="93"/>
  <c r="A24" i="93"/>
  <c r="A25" i="93"/>
  <c r="A26" i="93"/>
  <c r="A27" i="93"/>
  <c r="A28" i="93"/>
  <c r="A29" i="93"/>
  <c r="A30" i="93"/>
  <c r="A31" i="93"/>
  <c r="A32" i="93"/>
  <c r="A33" i="93"/>
  <c r="A34" i="93"/>
  <c r="A35" i="93"/>
  <c r="A36" i="93"/>
  <c r="A2" i="93"/>
  <c r="H34" i="93" l="1"/>
  <c r="G2" i="86"/>
  <c r="H35" i="93" l="1"/>
  <c r="H36" i="93" s="1"/>
  <c r="G29" i="92"/>
  <c r="G28" i="92"/>
  <c r="L28" i="92"/>
  <c r="L29" i="92"/>
  <c r="I19" i="92"/>
  <c r="I18" i="92"/>
  <c r="G3" i="92" l="1"/>
  <c r="H3" i="92" s="1"/>
  <c r="G5" i="92"/>
  <c r="G9" i="92"/>
  <c r="G10" i="92"/>
  <c r="G11" i="92"/>
  <c r="G12" i="92"/>
  <c r="G13" i="92"/>
  <c r="G14" i="92"/>
  <c r="G15" i="92"/>
  <c r="G16" i="92"/>
  <c r="G17" i="92"/>
  <c r="G18" i="92"/>
  <c r="G19" i="92"/>
  <c r="G20" i="92"/>
  <c r="G21" i="92"/>
  <c r="G22" i="92"/>
  <c r="G23" i="92"/>
  <c r="G26" i="92"/>
  <c r="G27" i="92"/>
  <c r="I8" i="92"/>
  <c r="G8" i="92" s="1"/>
  <c r="I7" i="92"/>
  <c r="G7" i="92" s="1"/>
  <c r="I6" i="92"/>
  <c r="G6" i="92" s="1"/>
  <c r="I4" i="92"/>
  <c r="G4" i="92" s="1"/>
  <c r="I2" i="92"/>
  <c r="G2" i="92" s="1"/>
  <c r="H2" i="92" s="1"/>
  <c r="G3" i="88" l="1"/>
  <c r="H4" i="92" l="1"/>
  <c r="H5" i="92"/>
  <c r="H6" i="92"/>
  <c r="H7" i="92"/>
  <c r="H8" i="92"/>
  <c r="H9" i="92"/>
  <c r="H10" i="92"/>
  <c r="H11" i="92"/>
  <c r="H12" i="92"/>
  <c r="H13" i="92"/>
  <c r="H14" i="92"/>
  <c r="H15" i="92"/>
  <c r="H16" i="92"/>
  <c r="H17" i="92"/>
  <c r="H18" i="92"/>
  <c r="H19" i="92"/>
  <c r="H20" i="92"/>
  <c r="H21" i="92"/>
  <c r="H22" i="92"/>
  <c r="H23" i="92"/>
  <c r="H24" i="92"/>
  <c r="H25" i="92"/>
  <c r="H26" i="92"/>
  <c r="H27" i="92"/>
  <c r="H28" i="92"/>
  <c r="H29" i="92"/>
  <c r="H30" i="92" l="1"/>
  <c r="G31" i="91"/>
  <c r="H31" i="91" s="1"/>
  <c r="H8" i="91"/>
  <c r="G9" i="91"/>
  <c r="H9" i="91" s="1"/>
  <c r="G10" i="91"/>
  <c r="H10" i="91" s="1"/>
  <c r="G11" i="91"/>
  <c r="H11" i="91" s="1"/>
  <c r="H12" i="91"/>
  <c r="H13" i="91"/>
  <c r="H14" i="91"/>
  <c r="H15" i="91"/>
  <c r="G16" i="91"/>
  <c r="H16" i="91" s="1"/>
  <c r="G17" i="91"/>
  <c r="H17" i="91" s="1"/>
  <c r="G18" i="91"/>
  <c r="H18" i="91" s="1"/>
  <c r="H19" i="91"/>
  <c r="G20" i="91"/>
  <c r="H20" i="91" s="1"/>
  <c r="G21" i="91"/>
  <c r="H21" i="91" s="1"/>
  <c r="H22" i="91"/>
  <c r="G23" i="91"/>
  <c r="H23" i="91" s="1"/>
  <c r="G24" i="91"/>
  <c r="H24" i="91" s="1"/>
  <c r="G25" i="91"/>
  <c r="H25" i="91" s="1"/>
  <c r="G26" i="91"/>
  <c r="H26" i="91" s="1"/>
  <c r="G27" i="91"/>
  <c r="H27" i="91" s="1"/>
  <c r="G28" i="91"/>
  <c r="H28" i="91" s="1"/>
  <c r="G29" i="91"/>
  <c r="H29" i="91" s="1"/>
  <c r="G30" i="91"/>
  <c r="H30" i="91" s="1"/>
  <c r="H31" i="92" l="1"/>
  <c r="H32" i="92" s="1"/>
  <c r="I5" i="75"/>
  <c r="G7" i="91" l="1"/>
  <c r="H7" i="91" s="1"/>
  <c r="G6" i="91"/>
  <c r="H6" i="91" s="1"/>
  <c r="G5" i="91"/>
  <c r="H5" i="91" s="1"/>
  <c r="G4" i="91"/>
  <c r="H4" i="91" s="1"/>
  <c r="G3" i="91"/>
  <c r="H3" i="91" s="1"/>
  <c r="G2" i="91"/>
  <c r="H2" i="91" s="1"/>
  <c r="H32" i="91" l="1"/>
  <c r="G7" i="90"/>
  <c r="H7" i="90" s="1"/>
  <c r="G6" i="90"/>
  <c r="H6" i="90" s="1"/>
  <c r="G5" i="90"/>
  <c r="H5" i="90" s="1"/>
  <c r="G4" i="90"/>
  <c r="H4" i="90" s="1"/>
  <c r="G3" i="90"/>
  <c r="H3" i="90" s="1"/>
  <c r="G2" i="90"/>
  <c r="H2" i="90" s="1"/>
  <c r="H3" i="88"/>
  <c r="G4" i="88"/>
  <c r="H4" i="88" s="1"/>
  <c r="G5" i="88"/>
  <c r="H5" i="88" s="1"/>
  <c r="H6" i="88"/>
  <c r="G7" i="88"/>
  <c r="H7" i="88" s="1"/>
  <c r="G8" i="88"/>
  <c r="H8" i="88" s="1"/>
  <c r="G2" i="88"/>
  <c r="H2" i="88" s="1"/>
  <c r="H33" i="91" l="1"/>
  <c r="H34" i="91" s="1"/>
  <c r="H12" i="90"/>
  <c r="H13" i="90" s="1"/>
  <c r="H14" i="90" s="1"/>
  <c r="H9" i="88"/>
  <c r="H10" i="88" s="1"/>
  <c r="H11" i="88" s="1"/>
  <c r="J22" i="83"/>
  <c r="G6" i="83"/>
  <c r="M19" i="86" l="1"/>
  <c r="M12" i="86"/>
  <c r="M11" i="86"/>
  <c r="M8" i="87"/>
  <c r="M9" i="87"/>
  <c r="M12" i="87"/>
  <c r="G17" i="83" l="1"/>
  <c r="I28" i="86"/>
  <c r="K4" i="87" l="1"/>
  <c r="I4" i="87" s="1"/>
  <c r="K2" i="87"/>
  <c r="I2" i="87" s="1"/>
  <c r="H8" i="87" l="1"/>
  <c r="H9" i="87"/>
  <c r="H12" i="87"/>
  <c r="G3" i="87"/>
  <c r="G4" i="87"/>
  <c r="G5" i="87"/>
  <c r="M5" i="87" s="1"/>
  <c r="G6" i="87"/>
  <c r="M6" i="87" s="1"/>
  <c r="G7" i="87"/>
  <c r="M7" i="87" s="1"/>
  <c r="G10" i="87"/>
  <c r="M10" i="87" s="1"/>
  <c r="G11" i="87"/>
  <c r="M11" i="87" s="1"/>
  <c r="G13" i="87"/>
  <c r="G14" i="87"/>
  <c r="G2" i="87"/>
  <c r="K46" i="86"/>
  <c r="K34" i="86"/>
  <c r="K16" i="86"/>
  <c r="K10" i="86"/>
  <c r="I47" i="86"/>
  <c r="I44" i="86"/>
  <c r="I43" i="86"/>
  <c r="I42" i="86"/>
  <c r="I41" i="86"/>
  <c r="I40" i="86"/>
  <c r="I33" i="86"/>
  <c r="I24" i="86"/>
  <c r="I23" i="86"/>
  <c r="H7" i="87" l="1"/>
  <c r="H13" i="87"/>
  <c r="M13" i="87"/>
  <c r="H11" i="87"/>
  <c r="H10" i="87"/>
  <c r="H6" i="87"/>
  <c r="H2" i="87"/>
  <c r="M2" i="87"/>
  <c r="H4" i="87"/>
  <c r="M4" i="87"/>
  <c r="H14" i="87"/>
  <c r="M14" i="87"/>
  <c r="H3" i="87"/>
  <c r="M3" i="87"/>
  <c r="H5" i="87"/>
  <c r="G3" i="86"/>
  <c r="G4" i="86"/>
  <c r="G5" i="86"/>
  <c r="G6" i="86"/>
  <c r="G7" i="86"/>
  <c r="G8" i="86"/>
  <c r="G9" i="86"/>
  <c r="G10" i="86"/>
  <c r="H11" i="86"/>
  <c r="H12" i="86"/>
  <c r="G13" i="86"/>
  <c r="G14" i="86"/>
  <c r="G15" i="86"/>
  <c r="G16" i="86"/>
  <c r="G17" i="86"/>
  <c r="G18" i="86"/>
  <c r="H19" i="86"/>
  <c r="G20" i="86"/>
  <c r="G21" i="86"/>
  <c r="G22" i="86"/>
  <c r="G23" i="86"/>
  <c r="M23" i="86" s="1"/>
  <c r="G24" i="86"/>
  <c r="G25" i="86"/>
  <c r="G26" i="86"/>
  <c r="G27" i="86"/>
  <c r="G28" i="86"/>
  <c r="G29" i="86"/>
  <c r="G30" i="86"/>
  <c r="G31" i="86"/>
  <c r="G32" i="86"/>
  <c r="G33" i="86"/>
  <c r="G34" i="86"/>
  <c r="G35" i="86"/>
  <c r="G36" i="86"/>
  <c r="G37" i="86"/>
  <c r="G38" i="86"/>
  <c r="G39" i="86"/>
  <c r="G40" i="86"/>
  <c r="G41" i="86"/>
  <c r="G42" i="86"/>
  <c r="G43" i="86"/>
  <c r="G44" i="86"/>
  <c r="G45" i="86"/>
  <c r="G46" i="86"/>
  <c r="G47" i="86"/>
  <c r="G48" i="86"/>
  <c r="G49" i="86"/>
  <c r="I19" i="83"/>
  <c r="I24" i="83"/>
  <c r="G24" i="83" s="1"/>
  <c r="I23" i="83"/>
  <c r="G23" i="83" s="1"/>
  <c r="I3" i="85"/>
  <c r="G3" i="85" s="1"/>
  <c r="H3" i="85" s="1"/>
  <c r="I4" i="85"/>
  <c r="G4" i="85" s="1"/>
  <c r="H4" i="85" s="1"/>
  <c r="I5" i="85"/>
  <c r="G5" i="85" s="1"/>
  <c r="H5" i="85" s="1"/>
  <c r="I16" i="85"/>
  <c r="G16" i="85" s="1"/>
  <c r="H16" i="85" s="1"/>
  <c r="I15" i="85"/>
  <c r="G15" i="85" s="1"/>
  <c r="H15" i="85" s="1"/>
  <c r="I14" i="85"/>
  <c r="G14" i="85" s="1"/>
  <c r="H14" i="85" s="1"/>
  <c r="I13" i="85"/>
  <c r="G13" i="85" s="1"/>
  <c r="H13" i="85" s="1"/>
  <c r="I12" i="85"/>
  <c r="G12" i="85" s="1"/>
  <c r="H12" i="85" s="1"/>
  <c r="I11" i="85"/>
  <c r="G11" i="85" s="1"/>
  <c r="H11" i="85" s="1"/>
  <c r="I10" i="85"/>
  <c r="G10" i="85" s="1"/>
  <c r="H10" i="85" s="1"/>
  <c r="I9" i="85"/>
  <c r="G9" i="85" s="1"/>
  <c r="H9" i="85" s="1"/>
  <c r="I8" i="85"/>
  <c r="G8" i="85" s="1"/>
  <c r="H8" i="85" s="1"/>
  <c r="I7" i="85"/>
  <c r="G7" i="85" s="1"/>
  <c r="H7" i="85" s="1"/>
  <c r="I6" i="85"/>
  <c r="G6" i="85" s="1"/>
  <c r="H6" i="85" s="1"/>
  <c r="J2" i="85"/>
  <c r="I2" i="85" s="1"/>
  <c r="G2" i="85" s="1"/>
  <c r="H2" i="85" s="1"/>
  <c r="H15" i="87" l="1"/>
  <c r="H23" i="86"/>
  <c r="H28" i="86"/>
  <c r="M28" i="86"/>
  <c r="H5" i="86"/>
  <c r="M5" i="86"/>
  <c r="H43" i="86"/>
  <c r="M43" i="86"/>
  <c r="H27" i="86"/>
  <c r="M27" i="86"/>
  <c r="H42" i="86"/>
  <c r="M42" i="86"/>
  <c r="H48" i="86"/>
  <c r="M48" i="86"/>
  <c r="H24" i="86"/>
  <c r="M24" i="86"/>
  <c r="H47" i="86"/>
  <c r="M47" i="86"/>
  <c r="H31" i="86"/>
  <c r="M31" i="86"/>
  <c r="H16" i="86"/>
  <c r="M16" i="86"/>
  <c r="H46" i="86"/>
  <c r="M46" i="86"/>
  <c r="H38" i="86"/>
  <c r="M38" i="86"/>
  <c r="H30" i="86"/>
  <c r="M30" i="86"/>
  <c r="H15" i="86"/>
  <c r="M15" i="86"/>
  <c r="H7" i="86"/>
  <c r="M7" i="86"/>
  <c r="H44" i="86"/>
  <c r="M44" i="86"/>
  <c r="H21" i="86"/>
  <c r="M21" i="86"/>
  <c r="H13" i="86"/>
  <c r="M13" i="86"/>
  <c r="H35" i="86"/>
  <c r="M35" i="86"/>
  <c r="H20" i="86"/>
  <c r="M20" i="86"/>
  <c r="H4" i="86"/>
  <c r="M4" i="86"/>
  <c r="H34" i="86"/>
  <c r="M34" i="86"/>
  <c r="H26" i="86"/>
  <c r="M26" i="86"/>
  <c r="H40" i="86"/>
  <c r="M40" i="86"/>
  <c r="H32" i="86"/>
  <c r="M32" i="86"/>
  <c r="H17" i="86"/>
  <c r="M17" i="86"/>
  <c r="H39" i="86"/>
  <c r="M39" i="86"/>
  <c r="H8" i="86"/>
  <c r="M8" i="86"/>
  <c r="H45" i="86"/>
  <c r="M45" i="86"/>
  <c r="H37" i="86"/>
  <c r="M37" i="86"/>
  <c r="H29" i="86"/>
  <c r="M29" i="86"/>
  <c r="H22" i="86"/>
  <c r="M22" i="86"/>
  <c r="H14" i="86"/>
  <c r="M14" i="86"/>
  <c r="H6" i="86"/>
  <c r="M6" i="86"/>
  <c r="H3" i="86"/>
  <c r="M3" i="86"/>
  <c r="H36" i="86"/>
  <c r="M36" i="86"/>
  <c r="H49" i="86"/>
  <c r="M49" i="86"/>
  <c r="H41" i="86"/>
  <c r="M41" i="86"/>
  <c r="H33" i="86"/>
  <c r="M33" i="86"/>
  <c r="H25" i="86"/>
  <c r="M25" i="86"/>
  <c r="H18" i="86"/>
  <c r="M18" i="86"/>
  <c r="H10" i="86"/>
  <c r="M10" i="86"/>
  <c r="H2" i="86"/>
  <c r="M2" i="86"/>
  <c r="H9" i="86"/>
  <c r="M9" i="86"/>
  <c r="H16" i="87"/>
  <c r="H17" i="87" s="1"/>
  <c r="H17" i="85"/>
  <c r="G37" i="83"/>
  <c r="G36" i="83"/>
  <c r="G34" i="83"/>
  <c r="G32" i="83"/>
  <c r="G31" i="83"/>
  <c r="G30" i="83"/>
  <c r="G22" i="83"/>
  <c r="G21" i="83"/>
  <c r="G19" i="83"/>
  <c r="G18" i="83"/>
  <c r="G16" i="83"/>
  <c r="G15" i="83"/>
  <c r="G14" i="83"/>
  <c r="G13" i="83"/>
  <c r="G12" i="83"/>
  <c r="G11" i="83"/>
  <c r="G10" i="83"/>
  <c r="G9" i="83"/>
  <c r="G8" i="83"/>
  <c r="G7" i="83"/>
  <c r="G2" i="83"/>
  <c r="J15" i="83"/>
  <c r="H50" i="86" l="1"/>
  <c r="H51" i="86" s="1"/>
  <c r="H18" i="85"/>
  <c r="G39" i="84"/>
  <c r="H39" i="84" s="1"/>
  <c r="G38" i="84"/>
  <c r="H38" i="84" s="1"/>
  <c r="G37" i="84"/>
  <c r="H37" i="84" s="1"/>
  <c r="G36" i="84"/>
  <c r="H36" i="84" s="1"/>
  <c r="G35" i="84"/>
  <c r="H35" i="84" s="1"/>
  <c r="G34" i="84"/>
  <c r="H34" i="84" s="1"/>
  <c r="G33" i="84"/>
  <c r="H33" i="84" s="1"/>
  <c r="G32" i="84"/>
  <c r="H32" i="84" s="1"/>
  <c r="G31" i="84"/>
  <c r="H31" i="84" s="1"/>
  <c r="G30" i="84"/>
  <c r="H30" i="84" s="1"/>
  <c r="G29" i="84"/>
  <c r="H29" i="84" s="1"/>
  <c r="G28" i="84"/>
  <c r="H28" i="84" s="1"/>
  <c r="G27" i="84"/>
  <c r="H27" i="84" s="1"/>
  <c r="G26" i="84"/>
  <c r="H26" i="84" s="1"/>
  <c r="G25" i="84"/>
  <c r="H25" i="84" s="1"/>
  <c r="G24" i="84"/>
  <c r="H24" i="84" s="1"/>
  <c r="G23" i="84"/>
  <c r="H23" i="84" s="1"/>
  <c r="G22" i="84"/>
  <c r="H22" i="84" s="1"/>
  <c r="G21" i="84"/>
  <c r="H21" i="84" s="1"/>
  <c r="G20" i="84"/>
  <c r="H20" i="84" s="1"/>
  <c r="G19" i="84"/>
  <c r="H19" i="84" s="1"/>
  <c r="G18" i="84"/>
  <c r="H18" i="84" s="1"/>
  <c r="G17" i="84"/>
  <c r="H17" i="84" s="1"/>
  <c r="G16" i="84"/>
  <c r="H16" i="84" s="1"/>
  <c r="G15" i="84"/>
  <c r="H15" i="84" s="1"/>
  <c r="G14" i="84"/>
  <c r="H14" i="84" s="1"/>
  <c r="G13" i="84"/>
  <c r="H13" i="84" s="1"/>
  <c r="G12" i="84"/>
  <c r="H12" i="84" s="1"/>
  <c r="G11" i="84"/>
  <c r="H11" i="84" s="1"/>
  <c r="G10" i="84"/>
  <c r="H10" i="84" s="1"/>
  <c r="G9" i="84"/>
  <c r="H9" i="84" s="1"/>
  <c r="G8" i="84"/>
  <c r="H8" i="84" s="1"/>
  <c r="G7" i="84"/>
  <c r="H7" i="84" s="1"/>
  <c r="G6" i="84"/>
  <c r="H6" i="84" s="1"/>
  <c r="G71" i="84"/>
  <c r="H71" i="84" s="1"/>
  <c r="G70" i="84"/>
  <c r="H70" i="84" s="1"/>
  <c r="G69" i="84"/>
  <c r="H69" i="84" s="1"/>
  <c r="G68" i="84"/>
  <c r="H68" i="84" s="1"/>
  <c r="G67" i="84"/>
  <c r="H67" i="84" s="1"/>
  <c r="G66" i="84"/>
  <c r="H66" i="84" s="1"/>
  <c r="G65" i="84"/>
  <c r="H65" i="84" s="1"/>
  <c r="G64" i="84"/>
  <c r="H64" i="84" s="1"/>
  <c r="G63" i="84"/>
  <c r="H63" i="84" s="1"/>
  <c r="G62" i="84"/>
  <c r="H62" i="84" s="1"/>
  <c r="G61" i="84"/>
  <c r="H61" i="84" s="1"/>
  <c r="G60" i="84"/>
  <c r="H60" i="84" s="1"/>
  <c r="G59" i="84"/>
  <c r="H59" i="84" s="1"/>
  <c r="G58" i="84"/>
  <c r="H58" i="84" s="1"/>
  <c r="G57" i="84"/>
  <c r="H57" i="84" s="1"/>
  <c r="G56" i="84"/>
  <c r="H56" i="84" s="1"/>
  <c r="G55" i="84"/>
  <c r="H55" i="84" s="1"/>
  <c r="G54" i="84"/>
  <c r="H54" i="84" s="1"/>
  <c r="G53" i="84"/>
  <c r="H53" i="84" s="1"/>
  <c r="G52" i="84"/>
  <c r="H52" i="84" s="1"/>
  <c r="G51" i="84"/>
  <c r="H51" i="84" s="1"/>
  <c r="G50" i="84"/>
  <c r="H50" i="84" s="1"/>
  <c r="G49" i="84"/>
  <c r="H49" i="84" s="1"/>
  <c r="G48" i="84"/>
  <c r="H48" i="84" s="1"/>
  <c r="G47" i="84"/>
  <c r="H47" i="84" s="1"/>
  <c r="G46" i="84"/>
  <c r="H46" i="84" s="1"/>
  <c r="G45" i="84"/>
  <c r="H45" i="84" s="1"/>
  <c r="G44" i="84"/>
  <c r="H44" i="84" s="1"/>
  <c r="G43" i="84"/>
  <c r="H43" i="84" s="1"/>
  <c r="G42" i="84"/>
  <c r="H42" i="84" s="1"/>
  <c r="G41" i="84"/>
  <c r="H41" i="84" s="1"/>
  <c r="G40" i="84"/>
  <c r="H40" i="84" s="1"/>
  <c r="G74" i="84"/>
  <c r="H74" i="84" s="1"/>
  <c r="G73" i="84"/>
  <c r="H73" i="84" s="1"/>
  <c r="G72" i="84"/>
  <c r="H72" i="84" s="1"/>
  <c r="H5" i="84"/>
  <c r="H4" i="84"/>
  <c r="H3" i="84"/>
  <c r="G2" i="84"/>
  <c r="H2" i="84" s="1"/>
  <c r="H26" i="83"/>
  <c r="K18" i="83"/>
  <c r="H18" i="83"/>
  <c r="K26" i="83"/>
  <c r="H52" i="86" l="1"/>
  <c r="H19" i="85"/>
  <c r="H20" i="85" s="1"/>
  <c r="H75" i="84"/>
  <c r="H5" i="83"/>
  <c r="H4" i="83"/>
  <c r="H3" i="83"/>
  <c r="H17" i="83"/>
  <c r="H20" i="83"/>
  <c r="H24" i="83"/>
  <c r="H23" i="83"/>
  <c r="H35" i="83"/>
  <c r="H33" i="83"/>
  <c r="H76" i="84" l="1"/>
  <c r="H77" i="84" s="1"/>
  <c r="H78" i="84" s="1"/>
  <c r="K2" i="83"/>
  <c r="H13" i="83"/>
  <c r="H25" i="83"/>
  <c r="H2" i="83"/>
  <c r="H37" i="83"/>
  <c r="H36" i="83"/>
  <c r="H34" i="83"/>
  <c r="H32" i="83"/>
  <c r="H31" i="83"/>
  <c r="H30" i="83"/>
  <c r="H29" i="83"/>
  <c r="H28" i="83"/>
  <c r="H27" i="83"/>
  <c r="H21" i="83"/>
  <c r="H19" i="83"/>
  <c r="H16" i="83"/>
  <c r="H15" i="83"/>
  <c r="H14" i="83"/>
  <c r="H12" i="83"/>
  <c r="H11" i="83"/>
  <c r="H10" i="83"/>
  <c r="H9" i="83"/>
  <c r="H8" i="83"/>
  <c r="H7" i="83"/>
  <c r="H6" i="83"/>
  <c r="H22" i="83"/>
  <c r="G13" i="82"/>
  <c r="H13" i="82" s="1"/>
  <c r="G12" i="82"/>
  <c r="H12" i="82" s="1"/>
  <c r="G11" i="82"/>
  <c r="H11" i="82" s="1"/>
  <c r="G10" i="82"/>
  <c r="H10" i="82" s="1"/>
  <c r="H9" i="82"/>
  <c r="G8" i="82"/>
  <c r="H8" i="82" s="1"/>
  <c r="G7" i="82"/>
  <c r="H7" i="82" s="1"/>
  <c r="G6" i="82"/>
  <c r="H6" i="82" s="1"/>
  <c r="G5" i="82"/>
  <c r="H5" i="82" s="1"/>
  <c r="G4" i="82"/>
  <c r="H4" i="82" s="1"/>
  <c r="G3" i="82"/>
  <c r="H3" i="82" s="1"/>
  <c r="H15" i="82"/>
  <c r="G14" i="82"/>
  <c r="H14" i="82" s="1"/>
  <c r="G2" i="82"/>
  <c r="H2" i="82" s="1"/>
  <c r="H4" i="81"/>
  <c r="H38" i="83" l="1"/>
  <c r="H16" i="82"/>
  <c r="G2" i="81"/>
  <c r="H2" i="81" s="1"/>
  <c r="G3" i="81"/>
  <c r="H3" i="81" s="1"/>
  <c r="I3" i="80"/>
  <c r="G3" i="80" s="1"/>
  <c r="H3" i="80" s="1"/>
  <c r="I4" i="80"/>
  <c r="G4" i="80" s="1"/>
  <c r="H4" i="80" s="1"/>
  <c r="I5" i="80"/>
  <c r="G5" i="80" s="1"/>
  <c r="H5" i="80" s="1"/>
  <c r="I6" i="80"/>
  <c r="G6" i="80" s="1"/>
  <c r="H6" i="80" s="1"/>
  <c r="I7" i="80"/>
  <c r="G7" i="80" s="1"/>
  <c r="H7" i="80" s="1"/>
  <c r="I8" i="80"/>
  <c r="G8" i="80" s="1"/>
  <c r="H8" i="80" s="1"/>
  <c r="I9" i="80"/>
  <c r="G9" i="80" s="1"/>
  <c r="H9" i="80" s="1"/>
  <c r="I10" i="80"/>
  <c r="G10" i="80" s="1"/>
  <c r="H10" i="80" s="1"/>
  <c r="I11" i="80"/>
  <c r="G11" i="80" s="1"/>
  <c r="H11" i="80" s="1"/>
  <c r="I2" i="80"/>
  <c r="G2" i="80" s="1"/>
  <c r="H2" i="80" s="1"/>
  <c r="G6" i="79"/>
  <c r="H6" i="79" s="1"/>
  <c r="G5" i="79"/>
  <c r="H5" i="79" s="1"/>
  <c r="G4" i="79"/>
  <c r="H4" i="79" s="1"/>
  <c r="G3" i="79"/>
  <c r="H3" i="79" s="1"/>
  <c r="G2" i="79"/>
  <c r="H2" i="79" s="1"/>
  <c r="H4" i="78"/>
  <c r="G2" i="78"/>
  <c r="H2" i="78" s="1"/>
  <c r="H3" i="78" s="1"/>
  <c r="G7" i="77"/>
  <c r="H7" i="77" s="1"/>
  <c r="G6" i="77"/>
  <c r="H6" i="77" s="1"/>
  <c r="G5" i="77"/>
  <c r="H5" i="77" s="1"/>
  <c r="G4" i="77"/>
  <c r="H4" i="77" s="1"/>
  <c r="G3" i="77"/>
  <c r="H3" i="77" s="1"/>
  <c r="G2" i="77"/>
  <c r="H2" i="77" s="1"/>
  <c r="G10" i="76"/>
  <c r="H10" i="76" s="1"/>
  <c r="G9" i="76"/>
  <c r="H9" i="76" s="1"/>
  <c r="G8" i="76"/>
  <c r="H8" i="76" s="1"/>
  <c r="G7" i="76"/>
  <c r="H7" i="76" s="1"/>
  <c r="G6" i="76"/>
  <c r="H6" i="76" s="1"/>
  <c r="G5" i="76"/>
  <c r="H5" i="76" s="1"/>
  <c r="G4" i="76"/>
  <c r="H4" i="76" s="1"/>
  <c r="G3" i="76"/>
  <c r="H3" i="76" s="1"/>
  <c r="G2" i="76"/>
  <c r="H2" i="76" s="1"/>
  <c r="I24" i="75"/>
  <c r="I20" i="75"/>
  <c r="I19" i="75"/>
  <c r="I18" i="75"/>
  <c r="I10" i="75"/>
  <c r="I9" i="75"/>
  <c r="I8" i="75"/>
  <c r="I7" i="75"/>
  <c r="I4" i="75"/>
  <c r="I3" i="75"/>
  <c r="G29" i="75"/>
  <c r="H29" i="75" s="1"/>
  <c r="H28" i="75"/>
  <c r="H8" i="79" l="1"/>
  <c r="H9" i="79" s="1"/>
  <c r="H39" i="83"/>
  <c r="H40" i="83" s="1"/>
  <c r="H17" i="82"/>
  <c r="H18" i="82" s="1"/>
  <c r="H19" i="82" s="1"/>
  <c r="H5" i="81"/>
  <c r="H12" i="80"/>
  <c r="H10" i="79"/>
  <c r="H11" i="79" s="1"/>
  <c r="H5" i="78"/>
  <c r="H8" i="77"/>
  <c r="H11" i="76"/>
  <c r="G2" i="31"/>
  <c r="G25" i="75"/>
  <c r="H25" i="75" s="1"/>
  <c r="G24" i="75"/>
  <c r="H24" i="75" s="1"/>
  <c r="G23" i="75"/>
  <c r="H23" i="75" s="1"/>
  <c r="G22" i="75"/>
  <c r="H22" i="75" s="1"/>
  <c r="H21" i="75"/>
  <c r="G20" i="75"/>
  <c r="H20" i="75" s="1"/>
  <c r="G19" i="75"/>
  <c r="H19" i="75" s="1"/>
  <c r="G15" i="75"/>
  <c r="H15" i="75" s="1"/>
  <c r="G14" i="75"/>
  <c r="H14" i="75" s="1"/>
  <c r="G13" i="75"/>
  <c r="H13" i="75" s="1"/>
  <c r="G12" i="75"/>
  <c r="H12" i="75" s="1"/>
  <c r="H11" i="75"/>
  <c r="G10" i="75"/>
  <c r="H10" i="75" s="1"/>
  <c r="G9" i="75"/>
  <c r="H9" i="75" s="1"/>
  <c r="G8" i="75"/>
  <c r="H8" i="75" s="1"/>
  <c r="G7" i="75"/>
  <c r="H7" i="75" s="1"/>
  <c r="G6" i="75"/>
  <c r="H6" i="75" s="1"/>
  <c r="G5" i="75"/>
  <c r="H5" i="75" s="1"/>
  <c r="G4" i="75"/>
  <c r="H4" i="75" s="1"/>
  <c r="G31" i="75"/>
  <c r="H31" i="75" s="1"/>
  <c r="G30" i="75"/>
  <c r="H30" i="75" s="1"/>
  <c r="H27" i="75"/>
  <c r="G26" i="75"/>
  <c r="H26" i="75" s="1"/>
  <c r="G18" i="75"/>
  <c r="H18" i="75" s="1"/>
  <c r="G17" i="75"/>
  <c r="H17" i="75" s="1"/>
  <c r="G16" i="75"/>
  <c r="H16" i="75" s="1"/>
  <c r="G3" i="75"/>
  <c r="H3" i="75" s="1"/>
  <c r="G2" i="75"/>
  <c r="H2" i="75" s="1"/>
  <c r="G3" i="74"/>
  <c r="H3" i="74" s="1"/>
  <c r="G4" i="74"/>
  <c r="H4" i="74" s="1"/>
  <c r="G5" i="74"/>
  <c r="H5" i="74" s="1"/>
  <c r="G2" i="74"/>
  <c r="H2" i="74" s="1"/>
  <c r="J2" i="74"/>
  <c r="H18" i="73"/>
  <c r="H17" i="73"/>
  <c r="H16" i="73"/>
  <c r="H15" i="73"/>
  <c r="H14" i="73"/>
  <c r="H13" i="73"/>
  <c r="H12" i="73"/>
  <c r="H10" i="73"/>
  <c r="H9" i="73"/>
  <c r="H8" i="73"/>
  <c r="H7" i="73"/>
  <c r="H6" i="73"/>
  <c r="H5" i="73"/>
  <c r="H4" i="73"/>
  <c r="H3" i="73"/>
  <c r="H26" i="73"/>
  <c r="H24" i="73"/>
  <c r="H22" i="73"/>
  <c r="H21" i="73"/>
  <c r="H20" i="73"/>
  <c r="H19" i="73"/>
  <c r="H2" i="73"/>
  <c r="H11" i="72"/>
  <c r="H10" i="72"/>
  <c r="H6" i="72"/>
  <c r="H5" i="72"/>
  <c r="H3" i="72"/>
  <c r="H2" i="72"/>
  <c r="H12" i="72"/>
  <c r="H9" i="72"/>
  <c r="H8" i="72"/>
  <c r="H7" i="72"/>
  <c r="H4" i="71"/>
  <c r="H3" i="71"/>
  <c r="H5" i="71"/>
  <c r="H2" i="71"/>
  <c r="H6" i="71"/>
  <c r="H7" i="71"/>
  <c r="J2" i="70"/>
  <c r="H2" i="70"/>
  <c r="H3" i="70" s="1"/>
  <c r="G3" i="69"/>
  <c r="H3" i="69" s="1"/>
  <c r="G2" i="69"/>
  <c r="H2" i="69" s="1"/>
  <c r="H2" i="68"/>
  <c r="H3" i="68" s="1"/>
  <c r="J6" i="67"/>
  <c r="H6" i="67" s="1"/>
  <c r="I6" i="67" s="1"/>
  <c r="J5" i="67"/>
  <c r="H5" i="67" s="1"/>
  <c r="I5" i="67" s="1"/>
  <c r="J4" i="67"/>
  <c r="H4" i="67" s="1"/>
  <c r="I4" i="67" s="1"/>
  <c r="J3" i="67"/>
  <c r="H3" i="67" s="1"/>
  <c r="I3" i="67" s="1"/>
  <c r="J2" i="67"/>
  <c r="H2" i="67" s="1"/>
  <c r="I2" i="67" s="1"/>
  <c r="J13" i="46"/>
  <c r="J12" i="46"/>
  <c r="J11" i="46"/>
  <c r="J10" i="46"/>
  <c r="H5" i="69" l="1"/>
  <c r="H30" i="73"/>
  <c r="H41" i="83"/>
  <c r="H6" i="81"/>
  <c r="H7" i="81" s="1"/>
  <c r="H8" i="81" s="1"/>
  <c r="H13" i="80"/>
  <c r="H14" i="80" s="1"/>
  <c r="H15" i="80" s="1"/>
  <c r="H9" i="77"/>
  <c r="H10" i="77" s="1"/>
  <c r="H12" i="76"/>
  <c r="H13" i="76" s="1"/>
  <c r="H32" i="75"/>
  <c r="H6" i="74"/>
  <c r="H7" i="74" s="1"/>
  <c r="H31" i="73"/>
  <c r="H32" i="73" s="1"/>
  <c r="H13" i="72"/>
  <c r="H14" i="72" s="1"/>
  <c r="H15" i="72" s="1"/>
  <c r="H8" i="71"/>
  <c r="H9" i="71" s="1"/>
  <c r="H4" i="70"/>
  <c r="H5" i="70" s="1"/>
  <c r="H6" i="69"/>
  <c r="H7" i="69" s="1"/>
  <c r="H4" i="68"/>
  <c r="H5" i="68" s="1"/>
  <c r="I7" i="67"/>
  <c r="N6" i="64"/>
  <c r="O6" i="64" s="1"/>
  <c r="H2" i="66"/>
  <c r="H3" i="66" s="1"/>
  <c r="L2" i="66"/>
  <c r="K2" i="66"/>
  <c r="G2" i="65"/>
  <c r="H2" i="65" s="1"/>
  <c r="G3" i="65"/>
  <c r="H3" i="65" s="1"/>
  <c r="N3" i="64"/>
  <c r="O3" i="64" s="1"/>
  <c r="N2" i="64"/>
  <c r="O2" i="64" s="1"/>
  <c r="G3" i="61"/>
  <c r="G2" i="61"/>
  <c r="L4" i="63"/>
  <c r="L3" i="63"/>
  <c r="H4" i="63"/>
  <c r="I4" i="63" s="1"/>
  <c r="H3" i="63"/>
  <c r="I3" i="63" s="1"/>
  <c r="H5" i="63"/>
  <c r="I5" i="63" s="1"/>
  <c r="H6" i="63"/>
  <c r="I6" i="63" s="1"/>
  <c r="H33" i="75" l="1"/>
  <c r="H34" i="75" s="1"/>
  <c r="I7" i="63"/>
  <c r="I8" i="63" s="1"/>
  <c r="I9" i="63" s="1"/>
  <c r="H8" i="74"/>
  <c r="I8" i="67"/>
  <c r="I9" i="67" s="1"/>
  <c r="H4" i="66"/>
  <c r="H5" i="66" s="1"/>
  <c r="H4" i="65"/>
  <c r="H5" i="65" s="1"/>
  <c r="H6" i="65" s="1"/>
  <c r="H2" i="62"/>
  <c r="I2" i="62" s="1"/>
  <c r="I3" i="62" s="1"/>
  <c r="I4" i="62" l="1"/>
  <c r="I5" i="62" s="1"/>
  <c r="H3" i="61"/>
  <c r="H2" i="61"/>
  <c r="H4" i="61" l="1"/>
  <c r="G2" i="60"/>
  <c r="H2" i="60" s="1"/>
  <c r="G3" i="60"/>
  <c r="H3" i="60" s="1"/>
  <c r="J3" i="60"/>
  <c r="J2" i="60"/>
  <c r="H5" i="61" l="1"/>
  <c r="H6" i="61" s="1"/>
  <c r="H4" i="60"/>
  <c r="H5" i="60" s="1"/>
  <c r="H6" i="60" s="1"/>
  <c r="G3" i="59"/>
  <c r="G2" i="59"/>
  <c r="H3" i="59" l="1"/>
  <c r="H2" i="59"/>
  <c r="H4" i="59" l="1"/>
  <c r="H5" i="59" s="1"/>
  <c r="H6" i="59" s="1"/>
  <c r="H5" i="58"/>
  <c r="H4" i="58"/>
  <c r="H3" i="58"/>
  <c r="H2" i="58"/>
  <c r="H7" i="58"/>
  <c r="H6" i="58"/>
  <c r="H8" i="58" l="1"/>
  <c r="H9" i="58" s="1"/>
  <c r="H10" i="58" s="1"/>
  <c r="I2" i="57"/>
  <c r="I3" i="57" s="1"/>
  <c r="H22" i="56"/>
  <c r="I22" i="56" s="1"/>
  <c r="H21" i="56"/>
  <c r="I21" i="56" s="1"/>
  <c r="H20" i="56"/>
  <c r="I20" i="56" s="1"/>
  <c r="H19" i="56"/>
  <c r="I19" i="56" s="1"/>
  <c r="H18" i="56"/>
  <c r="I18" i="56" s="1"/>
  <c r="H17" i="56"/>
  <c r="I17" i="56" s="1"/>
  <c r="H16" i="56"/>
  <c r="H15" i="56"/>
  <c r="I15" i="56" s="1"/>
  <c r="H14" i="56"/>
  <c r="I14" i="56" s="1"/>
  <c r="H13" i="56"/>
  <c r="I13" i="56" s="1"/>
  <c r="H12" i="56"/>
  <c r="I12" i="56" s="1"/>
  <c r="H11" i="56"/>
  <c r="I11" i="56" s="1"/>
  <c r="H10" i="56"/>
  <c r="I10" i="56" s="1"/>
  <c r="H9" i="56"/>
  <c r="I9" i="56" s="1"/>
  <c r="H8" i="56"/>
  <c r="I8" i="56" s="1"/>
  <c r="H7" i="56"/>
  <c r="I7" i="56" s="1"/>
  <c r="H6" i="56"/>
  <c r="I6" i="56" s="1"/>
  <c r="H5" i="56"/>
  <c r="I5" i="56" s="1"/>
  <c r="H4" i="56"/>
  <c r="I4" i="56" s="1"/>
  <c r="H3" i="56"/>
  <c r="I3" i="56" s="1"/>
  <c r="H2" i="56"/>
  <c r="I2" i="56" s="1"/>
  <c r="I16" i="56"/>
  <c r="H5" i="45"/>
  <c r="I5" i="45" s="1"/>
  <c r="H4" i="45"/>
  <c r="I4" i="45" s="1"/>
  <c r="H3" i="45"/>
  <c r="I3" i="45" s="1"/>
  <c r="H2" i="45"/>
  <c r="I2" i="45" s="1"/>
  <c r="L11" i="45"/>
  <c r="L10" i="45"/>
  <c r="L9" i="45"/>
  <c r="L8" i="45"/>
  <c r="L7" i="45"/>
  <c r="L6" i="45"/>
  <c r="L5" i="45"/>
  <c r="L4" i="45"/>
  <c r="L3" i="45"/>
  <c r="L2" i="45"/>
  <c r="I2" i="55"/>
  <c r="I3" i="55"/>
  <c r="K2" i="54"/>
  <c r="H2" i="54" s="1"/>
  <c r="I2" i="54" s="1"/>
  <c r="I3" i="54" s="1"/>
  <c r="K2" i="51"/>
  <c r="K2" i="49"/>
  <c r="G2" i="49"/>
  <c r="H2" i="49" s="1"/>
  <c r="G2" i="52"/>
  <c r="H2" i="52" s="1"/>
  <c r="H3" i="52" s="1"/>
  <c r="G2" i="51"/>
  <c r="H2" i="51" s="1"/>
  <c r="H3" i="51" s="1"/>
  <c r="I4" i="55" l="1"/>
  <c r="I5" i="55" s="1"/>
  <c r="I6" i="55" s="1"/>
  <c r="I4" i="57"/>
  <c r="I5" i="57" s="1"/>
  <c r="I23" i="56"/>
  <c r="I24" i="56" s="1"/>
  <c r="I25" i="56" s="1"/>
  <c r="I4" i="54"/>
  <c r="I5" i="54" s="1"/>
  <c r="H4" i="52"/>
  <c r="H5" i="52" s="1"/>
  <c r="H4" i="51"/>
  <c r="H5" i="51" s="1"/>
  <c r="G3" i="49"/>
  <c r="H3" i="49" s="1"/>
  <c r="G4" i="49"/>
  <c r="H4" i="49" s="1"/>
  <c r="G5" i="49"/>
  <c r="H5" i="49" s="1"/>
  <c r="I2" i="48"/>
  <c r="I3" i="48" s="1"/>
  <c r="M2" i="48"/>
  <c r="N5" i="47"/>
  <c r="J5" i="47" s="1"/>
  <c r="H5" i="47" s="1"/>
  <c r="I5" i="47" s="1"/>
  <c r="N4" i="47"/>
  <c r="J4" i="47" s="1"/>
  <c r="H4" i="47" s="1"/>
  <c r="N3" i="47"/>
  <c r="J3" i="47" s="1"/>
  <c r="H3" i="47" s="1"/>
  <c r="I3" i="47" s="1"/>
  <c r="N2" i="47"/>
  <c r="J2" i="47" s="1"/>
  <c r="H2" i="47" s="1"/>
  <c r="H11" i="46"/>
  <c r="I11" i="46" s="1"/>
  <c r="H10" i="46"/>
  <c r="I10" i="46" s="1"/>
  <c r="H15" i="46"/>
  <c r="I15" i="46" s="1"/>
  <c r="H13" i="46"/>
  <c r="I13" i="46" s="1"/>
  <c r="H12" i="46"/>
  <c r="I12" i="46" s="1"/>
  <c r="H9" i="45"/>
  <c r="I9" i="45" s="1"/>
  <c r="H8" i="45"/>
  <c r="I8" i="45" s="1"/>
  <c r="H7" i="45"/>
  <c r="I7" i="45" s="1"/>
  <c r="H6" i="45"/>
  <c r="I6" i="45" s="1"/>
  <c r="H10" i="45"/>
  <c r="I10" i="45" s="1"/>
  <c r="H11" i="45"/>
  <c r="I11" i="45" s="1"/>
  <c r="H2" i="44"/>
  <c r="I2" i="44" s="1"/>
  <c r="I3" i="44" s="1"/>
  <c r="L2" i="44"/>
  <c r="H5" i="42"/>
  <c r="I5" i="42" s="1"/>
  <c r="M5" i="42"/>
  <c r="M4" i="42"/>
  <c r="L2" i="43"/>
  <c r="H2" i="43"/>
  <c r="I2" i="43" s="1"/>
  <c r="I3" i="43" s="1"/>
  <c r="I2" i="42"/>
  <c r="H3" i="42"/>
  <c r="H4" i="42"/>
  <c r="H6" i="42"/>
  <c r="H2" i="41"/>
  <c r="I16" i="46" l="1"/>
  <c r="I17" i="46" s="1"/>
  <c r="I18" i="46" s="1"/>
  <c r="H6" i="49"/>
  <c r="H7" i="49" s="1"/>
  <c r="H8" i="49" s="1"/>
  <c r="I4" i="47"/>
  <c r="I12" i="45"/>
  <c r="I13" i="45" s="1"/>
  <c r="I14" i="45" s="1"/>
  <c r="I4" i="48"/>
  <c r="I5" i="48" s="1"/>
  <c r="I2" i="47"/>
  <c r="I4" i="44"/>
  <c r="I5" i="44" s="1"/>
  <c r="I4" i="43"/>
  <c r="I5" i="43" s="1"/>
  <c r="I6" i="42"/>
  <c r="I4" i="42"/>
  <c r="I3" i="42"/>
  <c r="H3" i="41"/>
  <c r="I3" i="41" s="1"/>
  <c r="H4" i="41"/>
  <c r="I4" i="41" s="1"/>
  <c r="H5" i="41"/>
  <c r="H6" i="41"/>
  <c r="I6" i="41" s="1"/>
  <c r="H7" i="41"/>
  <c r="I7" i="41" s="1"/>
  <c r="H8" i="41"/>
  <c r="I8" i="41" s="1"/>
  <c r="H9" i="41"/>
  <c r="I9" i="41" s="1"/>
  <c r="H10" i="41"/>
  <c r="I10" i="41" s="1"/>
  <c r="H11" i="41"/>
  <c r="I11" i="41" s="1"/>
  <c r="H12" i="41"/>
  <c r="I12" i="41" s="1"/>
  <c r="I2" i="41"/>
  <c r="I5" i="41"/>
  <c r="I3" i="40"/>
  <c r="I4" i="40"/>
  <c r="I2" i="40"/>
  <c r="I2" i="39"/>
  <c r="I3" i="39"/>
  <c r="I2" i="38"/>
  <c r="I3" i="38" s="1"/>
  <c r="J2" i="37"/>
  <c r="H2" i="37" s="1"/>
  <c r="I2" i="37" s="1"/>
  <c r="J3" i="37"/>
  <c r="H3" i="37" s="1"/>
  <c r="I3" i="37" s="1"/>
  <c r="I4" i="39" l="1"/>
  <c r="I5" i="39" s="1"/>
  <c r="I6" i="47"/>
  <c r="I7" i="47" s="1"/>
  <c r="I8" i="47" s="1"/>
  <c r="I13" i="41"/>
  <c r="I14" i="41" s="1"/>
  <c r="I15" i="41" s="1"/>
  <c r="I5" i="40"/>
  <c r="I6" i="40" s="1"/>
  <c r="I7" i="42"/>
  <c r="I8" i="42" s="1"/>
  <c r="I4" i="38"/>
  <c r="I5" i="38" s="1"/>
  <c r="I4" i="37"/>
  <c r="I5" i="37" s="1"/>
  <c r="I6" i="37" s="1"/>
  <c r="H2" i="36"/>
  <c r="I2" i="36" s="1"/>
  <c r="I6" i="39" l="1"/>
  <c r="I7" i="40"/>
  <c r="I9" i="42"/>
  <c r="I3" i="36"/>
  <c r="H7" i="35"/>
  <c r="I7" i="35" s="1"/>
  <c r="H6" i="35"/>
  <c r="I6" i="35" s="1"/>
  <c r="H5" i="35"/>
  <c r="I5" i="35" s="1"/>
  <c r="H4" i="35"/>
  <c r="I4" i="35" s="1"/>
  <c r="H3" i="35"/>
  <c r="I3" i="35" s="1"/>
  <c r="H2" i="35"/>
  <c r="I2" i="35" s="1"/>
  <c r="G5" i="25"/>
  <c r="H5" i="25" s="1"/>
  <c r="G4" i="25"/>
  <c r="H4" i="25" s="1"/>
  <c r="H7" i="34"/>
  <c r="I7" i="34" s="1"/>
  <c r="H6" i="34"/>
  <c r="I6" i="34" s="1"/>
  <c r="H5" i="34"/>
  <c r="I5" i="34" s="1"/>
  <c r="H4" i="34"/>
  <c r="I4" i="34" s="1"/>
  <c r="H3" i="34"/>
  <c r="I3" i="34" s="1"/>
  <c r="H2" i="34"/>
  <c r="I2" i="34" s="1"/>
  <c r="H11" i="34"/>
  <c r="I11" i="34" s="1"/>
  <c r="H10" i="34"/>
  <c r="I10" i="34" s="1"/>
  <c r="H9" i="34"/>
  <c r="I9" i="34" s="1"/>
  <c r="H8" i="34"/>
  <c r="I8" i="34" s="1"/>
  <c r="H14" i="34"/>
  <c r="I14" i="34" s="1"/>
  <c r="H13" i="34"/>
  <c r="I13" i="34" s="1"/>
  <c r="H12" i="34"/>
  <c r="I12" i="34" s="1"/>
  <c r="H2" i="31"/>
  <c r="J3" i="30"/>
  <c r="H3" i="30" s="1"/>
  <c r="I3" i="30" s="1"/>
  <c r="J4" i="30"/>
  <c r="H4" i="30" s="1"/>
  <c r="I4" i="30" s="1"/>
  <c r="J5" i="30"/>
  <c r="H5" i="30" s="1"/>
  <c r="I5" i="30" s="1"/>
  <c r="J6" i="30"/>
  <c r="H6" i="30" s="1"/>
  <c r="I6" i="30" s="1"/>
  <c r="J7" i="30"/>
  <c r="H7" i="30" s="1"/>
  <c r="I7" i="30" s="1"/>
  <c r="J2" i="30"/>
  <c r="H2" i="30" s="1"/>
  <c r="I2" i="30" s="1"/>
  <c r="H2" i="33"/>
  <c r="I2" i="33" s="1"/>
  <c r="I3" i="33" s="1"/>
  <c r="H3" i="32"/>
  <c r="I3" i="32" s="1"/>
  <c r="H2" i="32"/>
  <c r="I2" i="32" s="1"/>
  <c r="H5" i="32"/>
  <c r="I5" i="32" s="1"/>
  <c r="H4" i="32"/>
  <c r="I4" i="32" s="1"/>
  <c r="G3" i="31"/>
  <c r="H3" i="31" s="1"/>
  <c r="H2" i="29"/>
  <c r="G5" i="26"/>
  <c r="H5" i="26" s="1"/>
  <c r="G4" i="26"/>
  <c r="H4" i="26" s="1"/>
  <c r="G11" i="27"/>
  <c r="H11" i="27" s="1"/>
  <c r="G10" i="27"/>
  <c r="H10" i="27" s="1"/>
  <c r="G9" i="27"/>
  <c r="H9" i="27" s="1"/>
  <c r="G8" i="27"/>
  <c r="H8" i="27" s="1"/>
  <c r="G7" i="27"/>
  <c r="H7" i="27" s="1"/>
  <c r="G6" i="27"/>
  <c r="H6" i="27" s="1"/>
  <c r="G5" i="27"/>
  <c r="H5" i="27" s="1"/>
  <c r="G4" i="27"/>
  <c r="H4" i="27" s="1"/>
  <c r="H12" i="27" l="1"/>
  <c r="I8" i="30"/>
  <c r="I6" i="32"/>
  <c r="I7" i="32" s="1"/>
  <c r="I8" i="32" s="1"/>
  <c r="I8" i="35"/>
  <c r="I9" i="35" s="1"/>
  <c r="I10" i="35" s="1"/>
  <c r="I4" i="36"/>
  <c r="I5" i="36" s="1"/>
  <c r="I15" i="34"/>
  <c r="H4" i="31"/>
  <c r="H5" i="31" s="1"/>
  <c r="H6" i="31" s="1"/>
  <c r="I9" i="30"/>
  <c r="I10" i="30" s="1"/>
  <c r="I4" i="33"/>
  <c r="I5" i="33" s="1"/>
  <c r="I2" i="29"/>
  <c r="I3" i="29" s="1"/>
  <c r="I4" i="29" s="1"/>
  <c r="I5" i="29" s="1"/>
  <c r="H6" i="26"/>
  <c r="H7" i="26" s="1"/>
  <c r="H8" i="26" s="1"/>
  <c r="H6" i="25"/>
  <c r="H7" i="25" s="1"/>
  <c r="H8" i="25" s="1"/>
  <c r="G5" i="24"/>
  <c r="H5" i="24" s="1"/>
  <c r="G4" i="24"/>
  <c r="H4" i="24" s="1"/>
  <c r="G7" i="24"/>
  <c r="H7" i="24" s="1"/>
  <c r="G6" i="24"/>
  <c r="H6" i="24" s="1"/>
  <c r="G9" i="24"/>
  <c r="H9" i="24" s="1"/>
  <c r="G8" i="24"/>
  <c r="H8" i="24" s="1"/>
  <c r="G13" i="19"/>
  <c r="H13" i="19" s="1"/>
  <c r="G12" i="19"/>
  <c r="H12" i="19" s="1"/>
  <c r="G11" i="19"/>
  <c r="H11" i="19" s="1"/>
  <c r="G9" i="19"/>
  <c r="H9" i="19" s="1"/>
  <c r="G8" i="19"/>
  <c r="H8" i="19" s="1"/>
  <c r="G7" i="19"/>
  <c r="H7" i="19" s="1"/>
  <c r="G6" i="19"/>
  <c r="H6" i="19" s="1"/>
  <c r="G5" i="19"/>
  <c r="H5" i="19" s="1"/>
  <c r="H10" i="19"/>
  <c r="H4" i="19"/>
  <c r="G12" i="18"/>
  <c r="H12" i="18" s="1"/>
  <c r="G11" i="18"/>
  <c r="H11" i="18" s="1"/>
  <c r="G9" i="18"/>
  <c r="H9" i="18" s="1"/>
  <c r="G8" i="18"/>
  <c r="H8" i="18" s="1"/>
  <c r="G7" i="18"/>
  <c r="H7" i="18" s="1"/>
  <c r="G6" i="18"/>
  <c r="H6" i="18" s="1"/>
  <c r="G5" i="18"/>
  <c r="H5" i="18" s="1"/>
  <c r="G4" i="18"/>
  <c r="H4" i="18" s="1"/>
  <c r="G5" i="22"/>
  <c r="H5" i="22" s="1"/>
  <c r="G4" i="22"/>
  <c r="H4" i="22" s="1"/>
  <c r="H10" i="15"/>
  <c r="I10" i="15" s="1"/>
  <c r="H9" i="15"/>
  <c r="I9" i="15" s="1"/>
  <c r="H8" i="15"/>
  <c r="I8" i="15" s="1"/>
  <c r="H7" i="15"/>
  <c r="I7" i="15" s="1"/>
  <c r="H6" i="15"/>
  <c r="I6" i="15" s="1"/>
  <c r="H5" i="15"/>
  <c r="I5" i="15" s="1"/>
  <c r="K4" i="15"/>
  <c r="H4" i="15" s="1"/>
  <c r="I4" i="15" s="1"/>
  <c r="G5" i="23"/>
  <c r="H5" i="23" s="1"/>
  <c r="G4" i="23"/>
  <c r="H4" i="23" s="1"/>
  <c r="H6" i="22"/>
  <c r="H8" i="21"/>
  <c r="H7" i="21"/>
  <c r="H6" i="21"/>
  <c r="H5" i="21"/>
  <c r="H4" i="21"/>
  <c r="I16" i="34" l="1"/>
  <c r="I17" i="34" s="1"/>
  <c r="H13" i="27"/>
  <c r="H14" i="27" s="1"/>
  <c r="H10" i="24"/>
  <c r="H11" i="24" s="1"/>
  <c r="H12" i="24" s="1"/>
  <c r="H13" i="24" s="1"/>
  <c r="H13" i="18"/>
  <c r="H14" i="18" s="1"/>
  <c r="H16" i="18" s="1"/>
  <c r="I11" i="15"/>
  <c r="H6" i="23"/>
  <c r="H7" i="22"/>
  <c r="H8" i="22" s="1"/>
  <c r="H10" i="22" s="1"/>
  <c r="H9" i="21"/>
  <c r="H10" i="21" s="1"/>
  <c r="H14" i="19"/>
  <c r="H15" i="19" s="1"/>
  <c r="H17" i="19" s="1"/>
  <c r="G5" i="13"/>
  <c r="G4" i="13"/>
  <c r="H7" i="23" l="1"/>
  <c r="H8" i="23" s="1"/>
  <c r="H12" i="21"/>
  <c r="H5" i="13"/>
  <c r="H4" i="13"/>
  <c r="H9" i="23" l="1"/>
  <c r="H8" i="13"/>
  <c r="H9" i="13" s="1"/>
  <c r="H11" i="13" s="1"/>
  <c r="J12" i="12"/>
  <c r="K12" i="12" s="1"/>
  <c r="L12" i="12" s="1"/>
  <c r="J11" i="12"/>
  <c r="K11" i="12" s="1"/>
  <c r="L11" i="12" s="1"/>
  <c r="J10" i="12"/>
  <c r="K10" i="12" s="1"/>
  <c r="L10" i="12" s="1"/>
  <c r="J8" i="12"/>
  <c r="K8" i="12" s="1"/>
  <c r="L8" i="12" s="1"/>
  <c r="J7" i="12"/>
  <c r="K7" i="12" s="1"/>
  <c r="L7" i="12" s="1"/>
  <c r="J6" i="12"/>
  <c r="K6" i="12" s="1"/>
  <c r="J5" i="12"/>
  <c r="K5" i="12" s="1"/>
  <c r="J4" i="12"/>
  <c r="K4" i="12" s="1"/>
  <c r="L4" i="12" s="1"/>
  <c r="K3" i="11"/>
  <c r="L3" i="11" s="1"/>
  <c r="K4" i="11"/>
  <c r="L4" i="11" s="1"/>
  <c r="E12" i="11"/>
  <c r="L5" i="12" l="1"/>
  <c r="L6" i="12"/>
  <c r="I12" i="15"/>
  <c r="I14" i="15" s="1"/>
  <c r="Q2" i="101" l="1"/>
  <c r="Q3" i="101" s="1"/>
  <c r="R2" i="101"/>
  <c r="R3" i="101" s="1"/>
  <c r="T2" i="101"/>
  <c r="T3" i="101" s="1"/>
  <c r="S2" i="101"/>
  <c r="S3" i="101" s="1"/>
  <c r="P2" i="101"/>
  <c r="P3" i="101" s="1"/>
  <c r="O2" i="101"/>
  <c r="O3" i="101" s="1"/>
  <c r="N2" i="101"/>
  <c r="N3" i="101" s="1"/>
  <c r="I2" i="101"/>
  <c r="I3" i="101" s="1"/>
  <c r="U2" i="101"/>
  <c r="U3" i="101" s="1"/>
  <c r="I4" i="101" l="1"/>
  <c r="I5" i="10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M25" authorId="0" shapeId="0" xr:uid="{00000000-0006-0000-4800-000001000000}">
      <text>
        <r>
          <rPr>
            <b/>
            <sz val="14"/>
            <color indexed="81"/>
            <rFont val="Tahoma"/>
            <family val="2"/>
          </rPr>
          <t>Author:</t>
        </r>
        <r>
          <rPr>
            <sz val="14"/>
            <color indexed="81"/>
            <rFont val="Tahoma"/>
            <family val="2"/>
          </rPr>
          <t xml:space="preserve">
instead brand $58@10days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L4" authorId="0" shapeId="0" xr:uid="{00000000-0006-0000-4A00-000001000000}">
      <text>
        <r>
          <rPr>
            <b/>
            <sz val="14"/>
            <color indexed="81"/>
            <rFont val="Tahoma"/>
            <family val="2"/>
          </rPr>
          <t>Author:</t>
        </r>
        <r>
          <rPr>
            <sz val="14"/>
            <color indexed="81"/>
            <rFont val="Tahoma"/>
            <family val="2"/>
          </rPr>
          <t xml:space="preserve">
Original Price: 39203.45
Discount 40 %
Final Price: 23521.80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L2" authorId="0" shapeId="0" xr:uid="{00000000-0006-0000-5200-000001000000}">
      <text>
        <r>
          <rPr>
            <b/>
            <sz val="14"/>
            <color indexed="81"/>
            <rFont val="Tahoma"/>
            <family val="2"/>
          </rPr>
          <t>Author:</t>
        </r>
        <r>
          <rPr>
            <sz val="14"/>
            <color indexed="81"/>
            <rFont val="Tahoma"/>
            <family val="2"/>
          </rPr>
          <t xml:space="preserve">
RMB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L2" authorId="0" shapeId="0" xr:uid="{00000000-0006-0000-5300-000001000000}">
      <text>
        <r>
          <rPr>
            <b/>
            <sz val="14"/>
            <color indexed="81"/>
            <rFont val="Tahoma"/>
            <family val="2"/>
          </rPr>
          <t>Author:</t>
        </r>
        <r>
          <rPr>
            <sz val="14"/>
            <color indexed="81"/>
            <rFont val="Tahoma"/>
            <family val="2"/>
          </rPr>
          <t xml:space="preserve">
RMB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L2" authorId="0" shapeId="0" xr:uid="{00000000-0006-0000-5500-000001000000}">
      <text>
        <r>
          <rPr>
            <b/>
            <sz val="14"/>
            <color indexed="81"/>
            <rFont val="Tahoma"/>
            <family val="2"/>
          </rPr>
          <t>Author:</t>
        </r>
        <r>
          <rPr>
            <sz val="14"/>
            <color indexed="81"/>
            <rFont val="Tahoma"/>
            <family val="2"/>
          </rPr>
          <t xml:space="preserve">
RMB</t>
        </r>
      </text>
    </comment>
  </commentList>
</comments>
</file>

<file path=xl/sharedStrings.xml><?xml version="1.0" encoding="utf-8"?>
<sst xmlns="http://schemas.openxmlformats.org/spreadsheetml/2006/main" count="6529" uniqueCount="2629">
  <si>
    <t>Sl. No.</t>
  </si>
  <si>
    <t>Item Code</t>
  </si>
  <si>
    <t>DESCRIPTION</t>
  </si>
  <si>
    <t>UOM</t>
  </si>
  <si>
    <t>QTY</t>
  </si>
  <si>
    <t>Unit Rate</t>
  </si>
  <si>
    <t>Total Amt.</t>
  </si>
  <si>
    <t>Terms &amp; Conditions</t>
  </si>
  <si>
    <t xml:space="preserve">Offer Basis </t>
  </si>
  <si>
    <t>For Basis</t>
  </si>
  <si>
    <t>Delivery Period</t>
  </si>
  <si>
    <t>weeks from date of acceptance of PO</t>
  </si>
  <si>
    <t>Documents</t>
  </si>
  <si>
    <t>as per manufacturer's standard</t>
  </si>
  <si>
    <t>Guaranty/Warranty</t>
  </si>
  <si>
    <t>12 months from date of shipment for manufacturing defects</t>
  </si>
  <si>
    <t>Payment Terms</t>
  </si>
  <si>
    <t>Offer Validity</t>
  </si>
  <si>
    <t>Till</t>
  </si>
  <si>
    <t>Packing and forwarding will be done in accordance with manufacturer’s standard practice</t>
  </si>
  <si>
    <t>Form C to be issued against sales invoice on immediate basis otherwise sales tax will be charged @14%.</t>
  </si>
  <si>
    <t>M/s. Talwandi Sabo Power Ltd. Dist. Mansa</t>
  </si>
  <si>
    <t>100% payment against PI prior to dispatch &amp; against submission of docs.</t>
  </si>
  <si>
    <t>Hontai</t>
  </si>
  <si>
    <t>Ajay</t>
  </si>
  <si>
    <t>HSN</t>
  </si>
  <si>
    <t>GST</t>
  </si>
  <si>
    <t>GST Rate</t>
  </si>
  <si>
    <t>nos</t>
  </si>
  <si>
    <t>Note:</t>
  </si>
  <si>
    <t>MAC401018300050</t>
  </si>
  <si>
    <t>MAC401018300054</t>
  </si>
  <si>
    <r>
      <rPr>
        <b/>
        <u/>
        <sz val="10"/>
        <rFont val="Calibri"/>
        <family val="2"/>
        <scheme val="minor"/>
      </rPr>
      <t>Heater Element</t>
    </r>
    <r>
      <rPr>
        <sz val="10"/>
        <rFont val="Calibri"/>
        <family val="2"/>
        <scheme val="minor"/>
      </rPr>
      <t xml:space="preserve"> as per drawing Length 1740MM, Dia 16 MM, 3.1 KW, 230 VAC supply Material SS304L, with 26 MM dia (Without Spiral fins )</t>
    </r>
  </si>
  <si>
    <t>ELEMENT, HEATER; TYPE: ELECTRICAL,  VOLTAGE: 415 V AC, POWER: 6 KW; CAD</t>
  </si>
  <si>
    <t>CUSTOMER REF. NO.: Enquiry for requirement of Instrument air dryer heater(3000072201) &amp; SILO HEATER COIL ( 3000071239) for TSPL</t>
  </si>
  <si>
    <t>EMAIL DATE:08-04-2019</t>
  </si>
  <si>
    <t>PR No</t>
  </si>
  <si>
    <t>MEL391223130007</t>
  </si>
  <si>
    <t>RELAY; TYPE: LOCKOUT, TRIP, COIL  VOLTAGE: 220 V DC, APPLICATION:  SWITCHGEAR,(VOLTAGE: 11 KV); OEM PART  NO:  CHRS1011080.JSKL.01</t>
  </si>
  <si>
    <t>MEL391223310471</t>
  </si>
  <si>
    <t>RELAY, CONTROL; TYPE: OPEN/CLOSE, COIL,VOLTAGE: 220 V DC, CONTACT,ARRANGEMENT: 4CO, CONTACT RATING: 500,VAC, 16 A, TERMINAL TYPE: PLUG-IN,MOUNTING METHOD: BASE; OEM PART NO:C4-A40X,WD 36 X LG 52.5 MM</t>
  </si>
  <si>
    <t>MEL391223150182</t>
  </si>
  <si>
    <t>MODEL/MACHINE NO:  C4-A40X-DC220V-S4-J</t>
  </si>
  <si>
    <t>MEL391223310479</t>
  </si>
  <si>
    <t>RELAY, CONTROL; TYPE: PROTECTION, COIL  VOLTAGE: 220 V DC, CONTACT  ARRANGEMENT: 2NO-2NC, CONTACT RATING:  10 A, TERMINAL TYPE: SCREW, MOUNTING  METHOD: DIN,RAIL/SURFACE; OEM PART NO:   JZS-7Y-244BTH,DIMENSIONS: SQ 50 X 100 MM</t>
  </si>
  <si>
    <t>MEL391223310478</t>
  </si>
  <si>
    <t>RELAY, CONTROL; TYPE: PROTECTION, COIL  VOLTAGE: 220 V DC, CONTACT  ARRANGEMENT: 2NO-4NC, CONTACT RATING:  10 A, LINE VOLTAGE: 220 V DC, TERMINAL  TYPE: SCREW, MOUNTING METHOD: DIN  RAIL/SURFACE; OEM PART NO:  JZ-7Y -204BTH,DIMENSIONS: SQ 50 X 100 MM</t>
  </si>
  <si>
    <t>MEL391223150167</t>
  </si>
  <si>
    <t>RELAY; COIL VOLTAGE: 24 V DC; OEM PART  NO:  MY2N-J-24VDC</t>
  </si>
  <si>
    <t>MEL391223310491</t>
  </si>
  <si>
    <t>RELAY, CONTROL; LINE VOLTAGE: 110  VAC/DC; OEM PART NO:  HWX-TIMEE-2126,</t>
  </si>
  <si>
    <t>MEL391223150166</t>
  </si>
  <si>
    <t>RELAY; OEM PART NO:  C5-M10 DX</t>
  </si>
  <si>
    <t>MEL391223130006</t>
  </si>
  <si>
    <t>RELAY; TYPE: TRIP, COIL VOLTAGE: 220 V  DC, APPLICATION: SWITCHGEAR (VOLTAGE:  11 KV); MODEL/MACHINE NO:  CHR10L  A723/DC220V</t>
  </si>
  <si>
    <t>MEL391223310446</t>
  </si>
  <si>
    <t>RELAY, CONTROL; COIL VOLTAGE: 220 V DC,  CONTACT ARRANGEMENT: 6NO, TERMINAL  TYPE: SCREW; OEM PART NO:  DZK-916/4</t>
  </si>
  <si>
    <t>31 Days from date of offer</t>
  </si>
  <si>
    <t>EMAIL DATE:11-04-2019</t>
  </si>
  <si>
    <t>Need OEM Part No &amp; Item Pic</t>
  </si>
  <si>
    <t>Ex Works</t>
  </si>
  <si>
    <t>Delhi Supplier works basis.</t>
  </si>
  <si>
    <t>Client</t>
  </si>
  <si>
    <t>Ref No:</t>
  </si>
  <si>
    <t>CI Offer No:</t>
  </si>
  <si>
    <t>Date:</t>
  </si>
  <si>
    <t>Offer Date:</t>
  </si>
  <si>
    <t>Part Name</t>
  </si>
  <si>
    <t>PR Qty</t>
  </si>
  <si>
    <t>Unit Rate
INR</t>
  </si>
  <si>
    <t>SubTotal
INR</t>
  </si>
  <si>
    <t>SJZ</t>
  </si>
  <si>
    <t>India</t>
  </si>
  <si>
    <t>Peak energy</t>
  </si>
  <si>
    <t>UEPL</t>
  </si>
  <si>
    <t>NOS</t>
  </si>
  <si>
    <t>Subtotal</t>
  </si>
  <si>
    <t>GST Rate 18% applicable against HSN: 85</t>
  </si>
  <si>
    <t>Freight-INR</t>
  </si>
  <si>
    <t>Grand Total on FOR Site Basis-INR</t>
  </si>
  <si>
    <t xml:space="preserve">
1. 
2. 
3. 
4. 
5.
6. 
7. 
8.
9. </t>
  </si>
  <si>
    <t>PR NO</t>
  </si>
  <si>
    <t>ITEM CODE</t>
  </si>
  <si>
    <t>MLB411118090010</t>
  </si>
  <si>
    <t>DETECTOR, LEAK; OEM PART NO:  KQL 1500</t>
  </si>
  <si>
    <t>MLB411118090009</t>
  </si>
  <si>
    <t>DETECTOR, LEAK; OEM PART NO:  LH1500,MODE: LH1500, MNFR: GLOBETEK INFOSYS</t>
  </si>
  <si>
    <t>MLB411118090011</t>
  </si>
  <si>
    <t>DETECTOR, LEAK; TYPE: H2; OEM PART NO:  JY1000,</t>
  </si>
  <si>
    <t>MIT432015420218</t>
  </si>
  <si>
    <t>CONTROLLER, ELECTRONIC; OEM PART NO:  JY2000,</t>
  </si>
  <si>
    <t>Enquiry for requirement of H2 Leak Detector Spare (3000070098)for TSPL</t>
  </si>
  <si>
    <r>
      <rPr>
        <b/>
        <u/>
        <sz val="10"/>
        <rFont val="Cambria"/>
        <family val="1"/>
        <scheme val="major"/>
      </rPr>
      <t>Terms &amp; Conditions</t>
    </r>
    <r>
      <rPr>
        <sz val="10"/>
        <rFont val="Cambria"/>
        <family val="1"/>
        <scheme val="major"/>
      </rPr>
      <t xml:space="preserve">
Offer Basis FOR TSPL Plant basis.
Delivery Time: 8 to 12 weeks from date of receipt of confirm PO.
G/Warranty: 12 months from date of  DISPATCH - only for manufacturing defects
Payment Terms: 100% alongwith taxes etc against goods readiness. Copy of cheque required prior to material dispatch.
Offer Validity: 31 days from date of offer.
Any statutory changes in rate of tax etc will be applicable as on date of dispatch.
Minimum Order Qty: N/A
Standard packaging will be done for supply of above items.
100% fitment &amp; interchangeability of offered products. In case of any discrepancy, we will replace items promptly for free of cost. </t>
    </r>
  </si>
  <si>
    <t>requirement of Vibration probes forfans,CEP,MIlls,CWP and other rotary equipments (3000070909)</t>
  </si>
  <si>
    <t>MLB411119000191</t>
  </si>
  <si>
    <t>VIBRATION SENSOR
OEM PART NO:  ZHJ-2 -01-01-10-01
2011C05429; 30MV/MM/SEC, 
F/VELOCITY  TRANSDUCER</t>
  </si>
  <si>
    <t>MEL391215230023</t>
  </si>
  <si>
    <t>TIMER; DELAY TIME RANGE: 0-12 S;  MODEL/MACHINE NO:  H3CR</t>
  </si>
  <si>
    <t>MEL391222100436</t>
  </si>
  <si>
    <t>MLB411033110017</t>
  </si>
  <si>
    <t>MIA321517030086</t>
  </si>
  <si>
    <t>MEL391222290071</t>
  </si>
  <si>
    <t>MEL391222230054</t>
  </si>
  <si>
    <t>MEL391222100434</t>
  </si>
  <si>
    <t>MEL391222230045</t>
  </si>
  <si>
    <t>MEL391222100435</t>
  </si>
  <si>
    <t>ENQUIRY FOR HVAC SPARE (3000073716) FOR TSPL</t>
  </si>
  <si>
    <t>SWITCH, DIFFERENTIAL PRESSURE; VOLTAGE  RATING: 250 V AC, CURRENT RATING: 5 A,
MEASUREMENT RANGE: 1.4-10 MBAR,  TEMPERATURE RATING: 60 DEG C,  APPLICATION: HVAC SYSTEM</t>
  </si>
  <si>
    <t>MANOMETER; TYPE: INCLINED VERTICAL,  MEASUREMENT RANGE: -10 TO 650 PA;  
MODEL/MACHINE NO:  Mark II,</t>
  </si>
  <si>
    <t xml:space="preserve">SWITCH, TEMPERATURE; TEMPERATURE  RATING: -25 TO 15 DEG C, VOLTAGE  RATING: 24 V 
DC, CURRENT RATING: 16 A,  POWER RATING: 12 W, CONTACT  ARRANGEMENT: SPDT, CAPILLARY LENGTH: 2  MM, DIAMETER: 6.4 MM, LENGTH: 95 MM,  STANDARD: EN 60947-5; OEM PART NO:  KP73
</t>
  </si>
  <si>
    <t xml:space="preserve">SWITCH, FLOW; FLOW RATE: 2.5 gal/mi,  PRESSURE RANGE: 150 PSIG, TEMPERATURE  RATING: 
32-250 DEGF, VOLTAGE RATING:  230 V AC, CURRENT RATING: 16 A,  CONNECTION SIZE: 1 ", CONNECTION TYPE:  MNPT, MATERIAL: BRONZE, ENCLOSURE  RATING: NEMA 1, ACTION: SPDT
STANDARD: UL/CSA; MODEL/MACHINE NO:  F61KB-11C, VENDOR:  JOHNSON CONTROLS;  MEDIA: liquid
</t>
  </si>
  <si>
    <t xml:space="preserve">SWITCH, DIFFERENTIAL PRESSURE; VOLTAGE  RATING: 220/110 V AC, CURRENT RATING:  16/24
A, MEASUREMENT RANGE: 0-10/5-30  BAR; PRESSURE RATING: 69-145/71-429  PSI
</t>
  </si>
  <si>
    <t xml:space="preserve">SWITCH, FLOW; OEM PART NO:  V4-2-U, </t>
  </si>
  <si>
    <t xml:space="preserve">SWITCH, DIFFERENTIAL PRESSURE; VOLTAGE  RATING: 250/24 VAC/DC, CURRENT RATING:
0.5/0.1 A, MEASUREMENT RANGE: 50 MBAR,  TEMPERATURE RATING: -20 TO 85 DEG C,  
ENCLOSURE RATING: IP54, STANDARD: CE;  OEM PART NO:  930.8X,  
</t>
  </si>
  <si>
    <t>GST Rate 18% applicable</t>
  </si>
  <si>
    <r>
      <rPr>
        <b/>
        <u/>
        <sz val="10"/>
        <rFont val="Cambria"/>
        <family val="1"/>
        <scheme val="major"/>
      </rPr>
      <t>Terms &amp; Conditions</t>
    </r>
    <r>
      <rPr>
        <sz val="10"/>
        <rFont val="Cambria"/>
        <family val="1"/>
        <scheme val="major"/>
      </rPr>
      <t xml:space="preserve">
Offer Basis FOR TSPL Plant basis.
Delivery Time: 8 to 12 weeks from date of receipt of confirm PO.
G/Warranty: 12 months from date of  DISPATCH - only for manufacturing defects
Payment Terms: 100% alongwith taxes etc within 7 days of delivery
Offer Validity: 31 days from date of offer.
Any statutory changes in rate of tax etc will be applicable as on date of dispatch.
Minimum Order Qty: N/A
Standard packaging will be done for supply of above items.
100% fitment &amp; interchangeability of offered products. In case of any discrepancy, we will replace items promptly for free of cost. </t>
    </r>
  </si>
  <si>
    <t>Regret</t>
  </si>
  <si>
    <t>Koto</t>
  </si>
  <si>
    <t xml:space="preserve">PROGRAMMABLE LOGIC CONTROL; TYPE: MICRO
VOLTAGE RATING: 120/240 V AC,
APPLICATION: INTEGRATED PLC SCREEN;
MANUFACTURER PART NO:  1766-L32BWAA,NO:  LOGIX 1400; DIGITAL INPUT: 24 VDC AND 12 HIGH: SPEED INPUT, 20 RELAY OUTPUT
</t>
  </si>
  <si>
    <t>Emma</t>
  </si>
  <si>
    <t>Need item nameplate pic &amp; model number</t>
  </si>
  <si>
    <t>NO</t>
  </si>
  <si>
    <t>MEL391222430009</t>
  </si>
  <si>
    <t>MEL391222270011</t>
  </si>
  <si>
    <t>MEL391222300193</t>
  </si>
  <si>
    <t>MEL391222170219</t>
  </si>
  <si>
    <t>MEL391222190152</t>
  </si>
  <si>
    <t>ENQUIRY FOR CHP-SWITCHES (3000073821)</t>
  </si>
  <si>
    <t>MICRO SWITCH
APPLICATION:  WIRLESS HYDROGENERATOR ROTOR MOTOR,
AUTOMATIC SHEAR; 
MANUFACTURER PART NO: WLD2-G</t>
  </si>
  <si>
    <t>PROXIMITY SWITCH
VOLTAGE RATING: 24 V  DC, CURRENT RATING: 5 MA,
SENSING  RANGE: 5 MM; 
MANUFACTURER PART NO:  M00252442</t>
  </si>
  <si>
    <t>LEVEL SWITCH 
VOLTAGE RATING: 110 V AC
MODEL/MACHINE NO:  550</t>
  </si>
  <si>
    <t>SELECTOR SWITCH
TYPE: CAM, VOLTAGE OPERATED: REMOTE
RATING: 250 V AC, CURRENT RATING: 10 A</t>
  </si>
  <si>
    <t>SWITCH, JOYSTICK
APPLICATION: LEFT
STACKING CRANE</t>
  </si>
  <si>
    <t>ENQUIRY FOR SENSORS (3000073582)</t>
  </si>
  <si>
    <t>MEL391222100209</t>
  </si>
  <si>
    <t>MEL391215280010</t>
  </si>
  <si>
    <t>MEL391215230007</t>
  </si>
  <si>
    <t xml:space="preserve">PRESSURE SWITCH, 
TYPE: HYDRO-ELECTRIC,  PRESSURE RANGE: 100 BAR
VOLTAGE  RATING: 24 V DC; 
OEM PART NO:  HED 8  OP-20/100K14S, </t>
  </si>
  <si>
    <t>PHOTOELECTRIC SENSOR;
POWER  SUPPLY: 230 V AC; 
OEM PART NO:  134133 , RLK28-8-H-2000-IR-Z/31/116</t>
  </si>
  <si>
    <t>TIMER; TYPE
ELECTRONIC, INTERVAL;  
MANUFACTURER PART NO:  A1D1-X
DELAY TIME: 0: 1800 S</t>
  </si>
  <si>
    <t xml:space="preserve">Enquiry For Heaters for ESP (3000074543) </t>
  </si>
  <si>
    <t>MAC401018310025</t>
  </si>
  <si>
    <t>MAC401018310016</t>
  </si>
  <si>
    <t>HEATER, ELECTRIC
POWER RATING: 1 KW;  
OEM PART NO:  FT9G-1</t>
  </si>
  <si>
    <t>HEATER, ELECTRIC
VOLTAGE RATING: 415 V  AC, POWER RATING: 1.5 KW
OEM PART NO:  FT11G-1500</t>
  </si>
  <si>
    <t>Anne</t>
  </si>
  <si>
    <t>MGE261216160042</t>
  </si>
  <si>
    <t>CORD, COMMUNICATION; TYPE: PATCH CORD, CONNECTOR TYPE: LC-ST, LENGTH: 1.5 M</t>
  </si>
  <si>
    <t>MGE261216070019</t>
  </si>
  <si>
    <t>CABLE, FIBER OPTIC; TYPE: LC-LC JUMPER, OUTER SHEATH COLOR: GREY, OVERALL, LENGTH: 0.25 M; MANUFACTURER PART NO:P0973BU</t>
  </si>
  <si>
    <t>MGE261216070020</t>
  </si>
  <si>
    <t>CABLE, FIBER OPTIC; TYPE: LC-LC JUMPER,OUTER SHEATH COLOR: ORANGE, OVERALL,LENGTH: 0.25 M; MANUFACTURER PART NO:P0972ZQ,</t>
  </si>
  <si>
    <t>MHW311628000966</t>
  </si>
  <si>
    <t>KIT; TYPE: SPLITTER COMBINER;MODEL/MACHINE NO:  P0926MX,</t>
  </si>
  <si>
    <t>MGE261216070038</t>
  </si>
  <si>
    <t>CABLE, FIBER OPTIC; TYPE: MTRJ,  MULTIMODE, OVERALL LENGTH: 50 M</t>
  </si>
  <si>
    <t>MGE261216160021</t>
  </si>
  <si>
    <t>CORD, COMMUNICATION; TYPE: FIBER OPTIC,DUPLEX PATCH, LENGTH: 1 M, MATERIAL: STAINLESS STEEL; MODEL/MACHINE NO:  ST,-1MDUP; W/END CONNECTOR (LG: 5M)</t>
  </si>
  <si>
    <t>Present GST Rate 18% applicable against HSN</t>
  </si>
  <si>
    <r>
      <rPr>
        <b/>
        <u/>
        <sz val="10"/>
        <rFont val="Cambria"/>
        <family val="1"/>
        <scheme val="major"/>
      </rPr>
      <t>Terms &amp; Conditions</t>
    </r>
    <r>
      <rPr>
        <sz val="10"/>
        <rFont val="Cambria"/>
        <family val="1"/>
        <scheme val="major"/>
      </rPr>
      <t xml:space="preserve">
Offer Basis FOR TSPL Plant basis.
Delivery Time: 8 to 12 weeks from date of receipt of confirm PO.
G/Warranty: 12 months from date of  DISPATCH - only for manufacturing defects
Payment Terms: 100% against PI.
Offer Validity: 31 days from date of offer.
Any statutory changes in rate of tax etc will be applicable as on date of dispatch.
Minimum Order Qty: N/A
Standard packaging will be done for supply of above items.
100% fitment &amp; interchangeability of offered products. In case of any discrepancy, we will replace items promptly for free of cost. </t>
    </r>
  </si>
  <si>
    <t>ok</t>
  </si>
  <si>
    <t>MEL391222160125</t>
  </si>
  <si>
    <t>MHW311628070140</t>
  </si>
  <si>
    <t>MEL391214320465</t>
  </si>
  <si>
    <t>MIA312515150178</t>
  </si>
  <si>
    <t>MIA321310201018</t>
  </si>
  <si>
    <t>MLB411119340003</t>
  </si>
  <si>
    <t>LEVER; TYPE: LOCK/UNLOCK
OEM PART NO:  B0014 
Actuator Model No:  AVA09-Z3
ACTUATOR Make: Greatork</t>
  </si>
  <si>
    <t>PUSH BUTTON
OEM PART NO:  B0011 
Actuator Model No: AVA07-Z3
ACTUATOR Make: Greatork</t>
  </si>
  <si>
    <t>TERMINAL, STUD
OEM PART NO:  B0006
Actuator Model No:  AVA09-Z3
ACTUATOR Make: Greatork</t>
  </si>
  <si>
    <t>CASE
OEM PART NO:  B0010 
Actuator Model No:  AVA09-Z3
ACTUATOR Make: Greatork</t>
  </si>
  <si>
    <t>HALL BOARD, PRINTED CIRCUIT
Actuator Model No:  AVA Series
ACTUATOR Make: Greatork</t>
  </si>
  <si>
    <t>TORQUE SENSOR
MEASUREMENT  RANGE: 0-400 N M; 
Actuator Model No:  AVA07 
ACTUATOR Make: Greatork</t>
  </si>
  <si>
    <r>
      <rPr>
        <b/>
        <u/>
        <sz val="10"/>
        <rFont val="Tahoma"/>
        <family val="2"/>
      </rPr>
      <t>Terms &amp; Conditions</t>
    </r>
    <r>
      <rPr>
        <sz val="10"/>
        <rFont val="Tahoma"/>
        <family val="2"/>
      </rPr>
      <t xml:space="preserve">
Offer Basis FOR TSPL Plant basis.
Delivery Time: 8 to 12 weeks from date of receipt of confirm PO.
G/Warranty: 12 months from date of  DISPATCH - only for manufacturing defects
Payment Terms: 100% alongwith taxes etc within 7 days of delivery
Offer Validity: 31 days from date of offer.
Any statutory changes in rate of tax etc will be applicable as on date of dispatch.
Minimum Order Qty: N/A
Standard packaging will be done for supply of above items.
100% fitment &amp; interchangeability of offered products. In case of any discrepancy, we will replace items promptly for free of cost. </t>
    </r>
  </si>
  <si>
    <t>MLB411122120077</t>
  </si>
  <si>
    <t>MLB411122050017</t>
  </si>
  <si>
    <t xml:space="preserve">BWD-2KDS01 + core temperature measurement + Th
CONTROLLER, ELECTRONIC; TYPE:  TEMPERATURE, VOLTAGE RATING: 230 VAC,
CURRENT  RATING: 5 A, POWER RATING: 1  KW, MEASUREMENT RANGE: 0-200 DEG C
INPUT: PT100, OUTPUT: 5 A; (5) I/P  CHANNEL FROM PT100
</t>
  </si>
  <si>
    <r>
      <rPr>
        <b/>
        <u/>
        <sz val="10"/>
        <rFont val="Tahoma"/>
        <family val="2"/>
      </rPr>
      <t>Terms &amp; Conditions</t>
    </r>
    <r>
      <rPr>
        <sz val="10"/>
        <rFont val="Tahoma"/>
        <family val="2"/>
      </rPr>
      <t xml:space="preserve">
Offer Basis FOR TSPL Plant basis.
Delivery Time:  12 weeks from date of receipt of confirm PO.
G/Warranty: 12 months from date of  DISPATCH - only for manufacturing defects
Payment Terms: 100% alongwith taxes etc within 7 days of delivery
Offer Validity: 31 days from date of offer.
Any statutory changes in rate of tax etc will be applicable as on date of dispatch.
Minimum Order Qty: N/A
Standard packaging will be done for supply of above items.
100% fitment &amp; interchangeability of offered products. In case of any discrepancy, we will replace items promptly for free of cost. </t>
    </r>
  </si>
  <si>
    <t>MIA321310201506</t>
  </si>
  <si>
    <t>MIA321310201505</t>
  </si>
  <si>
    <t>CARD, ELECTRONIC; TYPE: LIGHTENING  FILTER, APPLICATION: CASSETE; OEM PART  NO:202302130712  EQUIP/TAG MODEL:  R410A
Outdoor power panel assembly
(plug-in) (Center) RoHS 450 (16) w / dsni-830 (a). D. Center</t>
  </si>
  <si>
    <t>CARD, ELECTRONIC; TYPE: INVERTER,  APPLICATION: CASSETTE; OEM PART NO: 202302140777  EQUIP/TAG MODEL:  R410A
35A frequency conversion module special components RoHS, power-35a (ps22a). D</t>
  </si>
  <si>
    <t>MAC401416460440</t>
  </si>
  <si>
    <t>SEAT, VALVE; TYPE: SOFT, VALVE TYPE:  BUTTERFLY, VALVE SIZE: 3 ", PRESSURE  RATING: CL 300, INSIDE DIAMETER: 65 MM , OUTSIDE DIAMETER: 80 MM, THICKNESS: 7 .5 ΜM, MATERIAL: REINFORCED TEFLON,  MATERIAL GRADE: CL A, TEMPERATURE  RATING: 100 DEG C, APPLICATION: CPP;  EQUIP/TAG MODEL:  8161C15 -C2D00800102PA, MANUFACTURER:  DURKEN  VALVE, EQUIP/TAG SERIAL:  786456-012 -001</t>
  </si>
  <si>
    <t>MAC401416460420</t>
  </si>
  <si>
    <t>SEAT, VALVE; TYPE: REMOVABLE, VALVE  TYPE: BUTTERFLY, VALVE SIZE: 4 IN,  PRESSURE RATING: 40 BAR, INSIDE  DIAMETER: 93 MM, OUTSIDE DIAMETER: 131  CM, THICKNESS: 13 ΜM, MATERIAL:  REINFORCED TEFLON, TEMPERATURE RATING:  100 DEG C, APPLICATION: CPP; DRAWING:  STEAG-TSPL-O&amp;M-J-22</t>
  </si>
  <si>
    <t>MAC401416460441</t>
  </si>
  <si>
    <t>SEAT, VALVE; TYPE: SOFT, VALVE TYPE:  BUTTERFLY, VALVE SIZE: 5 ", PRESSURE  RATING: CL 300, INSIDE DIAMETER: 115  MM, OUTSIDE DIAMETER: 130 MM,  THICKNESS: 7.5 ΜM, MATERIAL:  REINFORCED TEFLON, MATERIAL GRADE: CL  A, TEMPERATURE RATING: 100 DEG C,  APPLICATION: CPP; EQUIP/TAG MODEL:  8360B-3100050102PA, MANUFACTURER:  DURKEN VALVE, EQUIP/TAG SERIAL:  786456-009-001</t>
  </si>
  <si>
    <t>MAC401416460442</t>
  </si>
  <si>
    <t>SEAT, VALVE; TYPE: SOFT, VALVE TYPE:  BUTTERFLY, VALVE SIZE: 6 ", PRESSURE  RATING: CL 300, INSIDE DIAMETER: 135  MM, OUTSIDE DIAMETER: 155 MM,  THICKNESS: 10 ΜM, MATERIAL: REINFORCED  TEFLON, MATERIAL GRADE: CL A,  TEMPERATURE RATING: 100 DEG C,  APPLICATION: CPP; EQUIP/TAG MODEL:  8360B-3100060102PA, MANUFACTURER:  DURKEN VALVE, EQUIP/TAG SERIAL:  790023-008-002</t>
  </si>
  <si>
    <t>MAC401416460423</t>
  </si>
  <si>
    <t>SEAT, VALVE; TYPE: REMOVABLE, VALVE  TYPE: BUTTERFLY, VALVE SIZE: 10 IN,  PRESSURE RATING: 40 BAR, INSIDE  DIAMETER: 234 MM, OUTSIDE DIAMETER:  271 MM, THICKNESS: 13 ΜM, MATERIAL:  REINFORCED TEFLON, TEMPERATURE RATING:  100 DEG C, APPLICATION: CPP; SERIAL:  786456-006-002, EQUIP/TAG MODE: 8360B -3100100102HD, MNFR: DURKEN VALVE;  DRAWING: SESI/TSPL/AOH/U#2/TMD/037</t>
  </si>
  <si>
    <t>MAC401416460421</t>
  </si>
  <si>
    <t>SEAT, VALVE; TYPE: REMOVABLE, VALVE  TYPE: BUTTERFLY, VALVE SIZE: 14 IN,  PRESSURE RATING: 40 BAR, INSIDE  DIAMETER: 313 MM, OUTSIDE DIAMETER:  352 MM, THICKNESS: 13 ΜM, MATERIAL:  REINFORCED TEFLON, TEMPERATURE RATING:  100 DEG C, APPLICATION: CPP; SERIAL:  786456-004-001, EQUIP/TAG MODE: 8360B -3100140101HD, MNFR: DURKEN VALVE;  DRAWING: SESI/TSPL/AOH/U#2/TMD/038</t>
  </si>
  <si>
    <t>MAC401416460439</t>
  </si>
  <si>
    <t>SEAT, VALVE; TYPE: SOFT, VALVE TYPE:  BUTTERFLY, VALVE SIZE: 16 ", PRESSURE  RATING: CL 300, INSIDE DIAMETER: 390  MM, OUTSIDE DIAMETER: 415 MM,  THICKNESS: 12.5 ΜM, MATERIAL:  REINFORCED TEFLON, MATERIAL GRADE: CL  A, TEMPERATURE RATING: 100 DEG C,  APPLICATION: CPP; EQUIP/TAG MODEL:  8360B-3100160102EA, MANUFACTURER:  DURKEN VALVE, EQUIP/TAG SERIAL:  786456-003-006</t>
  </si>
  <si>
    <r>
      <rPr>
        <b/>
        <u/>
        <sz val="10"/>
        <rFont val="Tahoma"/>
        <family val="2"/>
      </rPr>
      <t>Terms &amp; Conditions</t>
    </r>
    <r>
      <rPr>
        <sz val="10"/>
        <rFont val="Tahoma"/>
        <family val="2"/>
      </rPr>
      <t xml:space="preserve">
Offer Basis FOR TSPL Plant basis.
Delivery Time:  14 to 16 weeks from date of receipt of confirm PO.
G/Warranty: 12 months from date of  DISPATCH - only for manufacturing defects
Payment Terms: 100% alongwith taxes etc within 7 days of delivery
Offer Validity: 31 days from date of offer.
Any statutory changes in rate of tax etc will be applicable as on date of dispatch.
Minimum Order Qty: N/A
Standard packaging will be done for supply of above items.
100% fitment &amp; interchangeability of offered products. In case of any discrepancy, we will replace items promptly for free of cost. </t>
    </r>
  </si>
  <si>
    <t>SEAT, VALVE; TYPE: REMOVABLE, VALVE  TYPE: BUTTERFLY, VALVE SIZE: 18 IN,  PRESSURE RATING: 40 BAR, INSIDE  DIAMETER: 410 MM, OUTSIDE DIAMETER:  449 MM, THICKNESS: 13 ΜM, MATERIAL:  REINFORCED TEFLON, TEMPERATURE RATING:  100 DEG C, APPLICATION: CPP; SERIAL:  786456-003-006, EQUIP/TAG MODE: 8360B -3100160102EA, MNFR: DURKEN VALVE;  DRAWING: SESI/TSPL/AOH/U#2/TMD/039</t>
  </si>
  <si>
    <t>N/A</t>
  </si>
  <si>
    <t xml:space="preserve">Servo Valve Part No.: G761 - 3033B / S63J0GA4VPL
Make : Moog motion     
</t>
  </si>
  <si>
    <r>
      <rPr>
        <b/>
        <u/>
        <sz val="10"/>
        <rFont val="Cambria"/>
        <family val="1"/>
        <scheme val="major"/>
      </rPr>
      <t>Terms &amp; Conditions</t>
    </r>
    <r>
      <rPr>
        <sz val="10"/>
        <rFont val="Cambria"/>
        <family val="1"/>
        <scheme val="major"/>
      </rPr>
      <t xml:space="preserve">
Offer Basis FOR TSPL Plant basis.
Delivery Time: 6 to 8 weeks from date of receipt of confirm PO.
G/Warranty: 12 months from date of  DISPATCH - only for manufacturing defects
Payment Terms: 100% against PI.
Offer Validity: 31 days from date of offer.
Any statutory changes in rate of tax etc will be applicable as on date of dispatch.
Minimum Order Qty: N/A
Standard packaging will be done for supply of above items.
100% fitment &amp; interchangeability of offered products. In case of any discrepancy, we will replace items promptly for free of cost. </t>
    </r>
  </si>
  <si>
    <t>MIA321310201542</t>
  </si>
  <si>
    <t>MIA321310201540</t>
  </si>
  <si>
    <t>MIA321310201541</t>
  </si>
  <si>
    <t>MIA321310201543</t>
  </si>
  <si>
    <t>MIA321310201544</t>
  </si>
  <si>
    <t>MIA321310201539</t>
  </si>
  <si>
    <t>Line NO</t>
  </si>
  <si>
    <t>CARD, ELECTRONIC; TYPE: PANEL OPERATING
VOLTAGE RATING: 5 V DC, CURRENT  RATING: 5 A, APPLICATION: DC  INSULATION MONITOR DEVICE; OEM PART  NO:  HD0101009, OEM:  BEIJING HUAXING  HENGYE ELECTRIC EQUIPMENT CO. LTD,  SERIAL NO:  645017, EQUIP/TAG MODEL:  HY-DC2000</t>
  </si>
  <si>
    <t>CARD, ELECTRONIC; TYPE: DISPLAY,  
VOLTAGE RATING: 5 V DC, APPLICATION:  DC INSULATION MONITOR DEVICE; OEM PART  NO:  KC0501085, SERIAL NO:  645029,  EQUIP/TAG MODEL:  HY-DC2000</t>
  </si>
  <si>
    <t>CARD, ELECTRONIC; TYPE: INTERFACE,  
VOLTAGE RATING: 5 V DC, APPLICATION:  DC INSULATION MONITOR DEVICE; OEM PART  NO:  KC0743965, OEM:  BEIJING HUAXING  HENGYE ELECTRIC EQUIPMENT CO. LTD,  SERIAL NO:  0645097, EQUIP/TAG MODEL:  HY-DC2000</t>
  </si>
  <si>
    <t>CARD, ELECTRONIC; TYPE: POWER SUPPLY,  
VOLTAGE RATING: 220 V DC, CURRENT  RATING: 10 A, APPLICATION: DC  INSULATION MONITOR DEVICE; OEM PART  NO:  KC0605183, OEM:  BEIJING HUAXING  HENGYE ELECTRIC EQUIPMENT CO. LTD,  SERIAL NO:  645022, EQUIP/TAG MODEL:  HY-DC2000</t>
  </si>
  <si>
    <t>CARD, ELECTRONIC; TYPE: AC/DC INPUT,  
VOLTAGE RATING: 220 V DC, CURRENT  RATING: 5 A, APPLICATION: DC  INSULATION MONITOR DEVICE; OEM PART  NO:  KC0605124, OEM:  BEIJING HUAXING  HENGYE ELECTRIC EQUIPMENT CO. LTD,  SERIAL NO:  645014, EQUIP/TAG MODEL:  HY-DC2000</t>
  </si>
  <si>
    <t>CARD, ELECTRONIC; TYPE: DC GROUND FAULT  MONITOR, 
VOLTAGE RATING: 220 V DC,  APPLICATION: DC INSULATION MONITOR  DEVICE; OEM PART NO:  KC0605185, OEM:  BEIJING HUAXING HENGYE ELECTRIC  EQUIPMENT CO. LTD, SERIAL NO:  645088,  EQUIP/TAG MODEL:  HY-DC2000</t>
  </si>
  <si>
    <t>Mophie</t>
  </si>
  <si>
    <t>MEL391223310275</t>
  </si>
  <si>
    <t>MEL391223310276</t>
  </si>
  <si>
    <t>MGE261014030054</t>
  </si>
  <si>
    <t>MGE261011141248</t>
  </si>
  <si>
    <t>MGE261011141249</t>
  </si>
  <si>
    <t>MGE261011141260</t>
  </si>
  <si>
    <t>SET</t>
  </si>
  <si>
    <r>
      <rPr>
        <b/>
        <u/>
        <sz val="10"/>
        <rFont val="Cambria"/>
        <family val="1"/>
        <scheme val="major"/>
      </rPr>
      <t>Terms &amp; Conditions</t>
    </r>
    <r>
      <rPr>
        <sz val="10"/>
        <rFont val="Cambria"/>
        <family val="1"/>
        <scheme val="major"/>
      </rPr>
      <t xml:space="preserve">
Offer Basis FOR  Plant basis.
Delivery Time: 12  weeks from date of receipt of confirm PO. (COVID-19 may affect delivery schedule).
G/Warranty: 12 months from date of  DISPATCH - only for manufacturing defects
Payment Terms: 100% against PI.
Offer Validity: 31 days from date of offer.
Any statutory changes in rate of tax etc will be applicable as on date of dispatch.
Minimum Order Qty: N/A
Standard packaging will be done for supply of above items.
100% fitment &amp; interchangeability of offered products. In case of any discrepancy, we will replace items promptly for free of cost. </t>
    </r>
  </si>
  <si>
    <r>
      <t xml:space="preserve">RELAY; CONTROL; TYPE: INTELLIGENCE; COIL VOLTAGE: 240/110-220 VAC/DC; CURRENT RATING: 100 A; APPLICATION: INTELLIGENCE RELAY; VENDOR:  SUZHOU WANLONG GROUP CO LTD; MODEL/MACHINE NO:  503-HA-100-V; 
</t>
    </r>
    <r>
      <rPr>
        <b/>
        <u/>
        <sz val="10"/>
        <color rgb="FF000000"/>
        <rFont val="Cambria"/>
        <family val="1"/>
        <scheme val="major"/>
      </rPr>
      <t>UPGRADED model: ST503H2A-100-V+ST522</t>
    </r>
    <r>
      <rPr>
        <sz val="10"/>
        <color rgb="FF000000"/>
        <rFont val="Cambria"/>
        <family val="1"/>
        <scheme val="major"/>
      </rPr>
      <t xml:space="preserve">
DIRECT START UP; TRIP CLASS: 10A; MODBUS PROTOCOL; COMMUNICATION-MODE BUS,
</t>
    </r>
  </si>
  <si>
    <r>
      <t xml:space="preserve">RELAY; CONTROL; TYPE: INTELLIGENCE; COIL VOLTAGE: 110-220 V DC; CURRENT RATING: 250 A; VENDOR:  SUZHOU WANLONG GROUP CO LTD; MODEL/MACHINE NO:  ST503-HA-250-V; 
</t>
    </r>
    <r>
      <rPr>
        <b/>
        <u/>
        <sz val="10"/>
        <color rgb="FF000000"/>
        <rFont val="Cambria"/>
        <family val="1"/>
        <scheme val="major"/>
      </rPr>
      <t>UPGRADED model: ST503H2A-250-V+ST522</t>
    </r>
    <r>
      <rPr>
        <sz val="10"/>
        <color rgb="FF000000"/>
        <rFont val="Cambria"/>
        <family val="1"/>
        <scheme val="major"/>
      </rPr>
      <t xml:space="preserve">
DO: 110V/ 220 VDC; AUX POWER: 110V/220 VDC+ 220 VAC; START TYPE: DIRECT START UP; TRIP CLASS: 10A; MODBUS PROTOCOL.
</t>
    </r>
  </si>
  <si>
    <r>
      <t xml:space="preserve">BRAKE SET , </t>
    </r>
    <r>
      <rPr>
        <b/>
        <u/>
        <sz val="10"/>
        <color rgb="FF000000"/>
        <rFont val="Cambria"/>
        <family val="1"/>
        <scheme val="major"/>
      </rPr>
      <t>Model:DLTZ-80,DC186V</t>
    </r>
    <r>
      <rPr>
        <sz val="10"/>
        <color rgb="FF000000"/>
        <rFont val="Cambria"/>
        <family val="1"/>
        <scheme val="major"/>
      </rPr>
      <t xml:space="preserve">
1 set comprises of brake coil along with rectifier, spring set, disc
; TYPE: ELECTROMAGNETIC,TORQUE  RATING: 80 NM,APPLICATION: EOT LONG  TRAVEL MOTOR; EQUIP/TAG SERIA: 0263,MNFR: JIANG XI SPECIAL CO LTD; WITH DISC,SPRING SET &amp; RECTIFIER ELECTRIC MOTOR
</t>
    </r>
  </si>
  <si>
    <r>
      <t xml:space="preserve">MOTOR, ELECTRIC; TYPE: INDUCTION,VOLTAGE RATING: 415 V AC,CURRENTRATING: 5.7 A,POWER RATING: 2.2 KW,SPEED: 935 RPM,POWER SUPPLY: 415 V AC,SHAFT DIAMETER: 45 MM,FRAME: 132M1,ELECTRICAL POLE QUANTITY: 6P,INSULATION CLASS: F,DUTY RATING: S3,MOUNTING METHOD: HORIZONTAL FLANGED,PHASE QUANTITY: 3; ROTOR (VOLTAGE: 133
V, CURRENT: 11.3 A), WITH BRAKE COIL(VOLTAGE: 186 VDC, TORQUE: 80 NM, JM-0.07 KG.M2)
</t>
    </r>
    <r>
      <rPr>
        <b/>
        <sz val="10"/>
        <color rgb="FF000000"/>
        <rFont val="Cambria"/>
        <family val="1"/>
        <scheme val="major"/>
      </rPr>
      <t>Model:YZRE132M1-6 B5 AC256 2.2KW</t>
    </r>
  </si>
  <si>
    <r>
      <t xml:space="preserve">MOTOR, ELECTRIC; TYPE: INDUCTION,VOLTAGE RATING: 415 V AC,CURRENTRATING: 45 A,POWER RATING: 22 KW,SPEED: 720 RPM,POWER SUPPLY: 415 V AC,SHAFT DIAMETER: 60 MM,FRAME: 225M,ELECTRICAL POLE QUANTITY: 8P,INSULATION CLASS: F,DUTY RATING: S3,MOUNTING METHOD: HORIZONTAL FOOT,PHASE QUANTITY: 3; ROTOR (TORQUE: 600 NM, JM- 3.07 KG.M2, VOLTAGE: 238 V, CURRENT:60 A), WITH BRAKE COIL (VOLTAGE: 186VDC)
</t>
    </r>
    <r>
      <rPr>
        <b/>
        <u/>
        <sz val="10"/>
        <color rgb="FF000000"/>
        <rFont val="Cambria"/>
        <family val="1"/>
        <scheme val="major"/>
      </rPr>
      <t>Model:YZREF225M-8 SFH  22KW</t>
    </r>
  </si>
  <si>
    <r>
      <t xml:space="preserve">MOTOR, ELECTRIC; TYPE: INDUCTION,VOLTAGE RATING: 415 V AC,CURRENT
RATING: 8.8 ,POWER RATING: 3.7 KW,SPEED: 935 RPM,POWER SUPPLY: 415 V AC,SHAFT DIAMETER: 20 MM,FRAME: 132M2,ELECTRICAL POLE QUANTITY: 6P,INSULATION CLASS: F,DUTY RATING: S3,MOUNTING METHOD: HORIZONTAL FLANGED.,PHASE QUANTITY: 3; MODEL/MACHINE NO:YZRE132M2-685-RC256, SERIAL: 0243,MNFR: JIANG XI SPECIAL ELECTRIC MOTORCO LTD;ROTOR (VOLTAGE:  189 V,CURRENT: 13.3 A), WITH BRAKE COIL(VOLTAGE: 186 VDC, TORQUE: 80 NM, JM-0.08 KG.M2)
</t>
    </r>
    <r>
      <rPr>
        <b/>
        <u/>
        <sz val="10"/>
        <color rgb="FF000000"/>
        <rFont val="Cambria"/>
        <family val="1"/>
        <scheme val="major"/>
      </rPr>
      <t>Model:YZRE132M2-6 B5 AC256 3.7KW</t>
    </r>
  </si>
  <si>
    <t>MAC401018090002</t>
  </si>
  <si>
    <t>MAC401018090001</t>
  </si>
  <si>
    <t>MAC401018090003</t>
  </si>
  <si>
    <t>MAC401018190004</t>
  </si>
  <si>
    <t>MAC401018220003</t>
  </si>
  <si>
    <t>MAC401018210002</t>
  </si>
  <si>
    <t>MAC401018210003</t>
  </si>
  <si>
    <t>MAC401018220002</t>
  </si>
  <si>
    <t>MAC401018310034</t>
  </si>
  <si>
    <t>MAC401018220005</t>
  </si>
  <si>
    <t>MAC401018310044</t>
  </si>
  <si>
    <t>MAC401018210004</t>
  </si>
  <si>
    <t>MAC401018220007</t>
  </si>
  <si>
    <t>Client Line NO</t>
  </si>
  <si>
    <t>HEATER, ELECTRIC; VOLTAGE RATING: 240 V  AC, POWER RATING: 10 KW, DIMENSIONS:  DIA 160.06 X LG 2115 MM, APPLICATION:  MAIN OIL TANK; DRAWING: STEAG-TSPL-O&amp;M -K-049</t>
  </si>
  <si>
    <t>HEATER, ELECTRIC; TYPE: OIL, VOLTAGE  RATING: 240 V AC, POWER RATING: 2 KW,  DIMENSIONS: DIA 135 X LG 495 MM,  APPLICATION: PA FAN; DRAWING: STEAG -TSPL-O&amp;M-K-050</t>
  </si>
  <si>
    <t>HEATER, ELECTRIC; VOLTAGE RATING: 380 V  AC, POWER RATING: 4 KW, DIMENSIONS:  DIA 95 X LG 875 MM, APPLICATION: ID  FAN; DRAWING: STEAG-TSPL-O&amp;M-K-051</t>
  </si>
  <si>
    <t>HEATER; ELECTRIC; TYPE: CUBICLE; SPACE; VOLTAGE RATING: 240 V AC; CURRENT RATING: 80 W; VENDOR:  BAJAJ ENGINEERING; VENDOR:  PYROSENSORS</t>
  </si>
  <si>
    <t>HEATER, ELECTRIC; TYPE: TUBULAR,  VOLTAGE RATING: 415 V AC, CURRENT  RATING: 1 A, POWER RATING: 600 W,  MATERIAL: STAINLESS STEEL GR 316,  TEMPERATURE RATING: 60 DEG C,  TEMPERATURE RANGE: 0-100 DEG C; TUBE  DIA:16 MM, LG: 470 MM, F/MDBFP</t>
  </si>
  <si>
    <t>HEATER, ELECTRIC; TYPE: STRIP, VOLTAGE  RATING: 240 V AC, CURRENT RATING: 2.5  A, POWER RATING: 500 W; MANUFACTURER  PART NO:  FGMH0000SH, VENDOR:  MARATHON HEATER (INDIA) PRIVATE LTD</t>
  </si>
  <si>
    <t>HEATER, ELECTRIC; TYPE: STRIP, VOLTAGE  RATING: 240 V AC, CURRENT RATING: 1.25  A, POWER RATING: 300 W, MATERIAL: MICA , TEMPERATURE RATING: 60 DEG C,  TEMPERATURE RANGE: 0-100 DEG C; SIZE:  WD 100 X LG 500 X THK 4-6 MM, SHEATH  MATERIAL: GALVANIZED IRON, SHEATHING  WITH LEAD WIRE OF LG: 250 MM, WITH  HOLE CENTER TO CENTER: 460 MM</t>
  </si>
  <si>
    <t>HEATER, ELECTRIC; TYPE: TUBULAR,  VOLTAGE RATING: 240 V AC, CURRENT  RATING: 1.25 A, POWER RATING: 300 W,  MATERIAL: STAINLESS STEEL GR 316,  TEMPERATURE RATING: 60 DEG C,  TEMPERATURE RANGE: 0-100 DEG C; TUBE  DIA: 16 MM, LG: 310 MM; F/OCCW AND TD -BFP</t>
  </si>
  <si>
    <t>HEATER, ELECTRIC; TYPE: DEOXIDIZER,  VOLTAGE RATING: 230 V AC, CURRENT  RATING: 2 A, POWER RATING: 0.5 KW;  EQUIP/TAG MODE: CNDQ-10/3.2, MNFR:  CSIC; RESISTANCE: 116 OHM, END  CONNECTION TYPE: FLANGED, CONNECTION  SIZE: DIA: 83 MM, PHASE QTY: 1PH</t>
  </si>
  <si>
    <t>HEATER, ELECTRIC; TYPE: TUBULAR,  VOLTAGE RATING: 230 V AC, CURRENT  RATING: 17.31 A, POWER RATING: 4 KW,  APPLICATION: H2 DRIER; EQUIP/TAG MODE:  CNDQ-10/3.2; DRAWING: QR79-21.32.15.04 -01, VENDOR: PURIFICATION EQUIPMENT  RESEARCH INSTITUTE OF CSIC, CHINA</t>
  </si>
  <si>
    <t>HEATER, ELECTRIC; TYPE: ELECTRIC; OEM  PART NO:  SRY2-220/2, VENDOR:  KTR  COUPLINGS INDIA PVT LTD</t>
  </si>
  <si>
    <t>HEATER, ELECTRIC; TYPE: STRIP, VOLTAGE  RATING: 240 V AC, CURRENT RATING: 2.5  A, POWER RATING: 600 W, TEMPERATURE  RATING: 60 DEG C, TEMPERATURE RANGE: 0 -100 DEG C, DIMENSIONS: WD 16 X LG 262  MM, APPLICATION: HT MOTOR; DRAWING:  STEAG-TSPL-O&amp;M-K-106, VENDOR: STEAG  ENERGY SERVICES INDIA PVT LTD</t>
  </si>
  <si>
    <t>HEATER, ELECTRIC; TYPE: TUBULAR,  VOLTAGE RATING: 415 V AC, CURRENT  RATING: 6.54 A, POWER RATING: 4 KW,  MATERIAL: STEEL, TEMPERATURE RATING:  37 DEG C, TEMPERATURE RANGE: 0-60 DEG  C, CAPACITY: 1.5 M3, APPLICATION: COAL  MILL LUB OIL TANK</t>
  </si>
  <si>
    <t>MIT432015420510</t>
  </si>
  <si>
    <t>MIA321310201529</t>
  </si>
  <si>
    <t>MIA321310201534</t>
  </si>
  <si>
    <t>MIA321310201528</t>
  </si>
  <si>
    <t>MIA321310201536</t>
  </si>
  <si>
    <t>MIA321310201537</t>
  </si>
  <si>
    <t>CONTROL-MONITOR
VOLTAGE: 220 V DC,  APPLICATION: DIRECT CURRENT  DISTRIBUTION BOARD (DCDB); 
OEM PART  NO:  IDC-300B, 
OEM:  SHANDONG LUNENG,  EQUIP/TAG MODEL:  20156910</t>
  </si>
  <si>
    <t>ELECTRONIC CARD,TYPE:CENTRAL  PROCESSING UNIT
FUNCTION: CONTROL  MONITOR; 
OEM PART NO:  ZN5.028.003,  
OEM:  SHANDONG LUNENG, EQUIP/TAG  MODEL:  IDC-300B</t>
  </si>
  <si>
    <t>ELECTRONIC CARD,TYPE: POWER
FUNCTION: CONTROL MONITOR, VOLTAGE  RATING: 220 V DC; 
OEM PART NO:  ZN5 .022.001, 
OEM:  SHANDONG LUNENG,  EQUIP/TAG MODEL:  IDC-300B</t>
  </si>
  <si>
    <t>ELECTRONIC CARD,TYPE: ANALOG
FUNCTION: CONTROL MONITOR; 
OEM PART  NO:  ZN5.028.002B, 
OEM:  SHANDONG  LUNENG, EQUIP/TAG MODEL:  IDC 300B</t>
  </si>
  <si>
    <t>ELECTRONIC CARD,TYPE: SWITCH OUTPUT
FUNCTION: CONTROL  MONITOR; 
OEM PART  NO:  ZN5.022.005, 
OEM:  SHANDONG  LUNENG, EQUIP/TAG MODEL:  IDC-300B</t>
  </si>
  <si>
    <t xml:space="preserve"> ELECTRONIC CARD,TYPE: SWITCH OUTPUT
FUNCTION: CONTROL MONITOR; 
OEM PART  NO:  ZN5.022.004, 
OEM:  SHANDONG  LUNENG, EQUIP/TAG MODEL:  IDC-300B</t>
  </si>
  <si>
    <t>Client PR NO</t>
  </si>
  <si>
    <t>MIT432015420364</t>
  </si>
  <si>
    <r>
      <rPr>
        <b/>
        <u/>
        <sz val="10"/>
        <rFont val="Cambria"/>
        <family val="1"/>
        <scheme val="major"/>
      </rPr>
      <t>Terms &amp; Conditions</t>
    </r>
    <r>
      <rPr>
        <sz val="10"/>
        <rFont val="Cambria"/>
        <family val="1"/>
        <scheme val="major"/>
      </rPr>
      <t xml:space="preserve">
Offer Basis FOR  Plant basis.
Delivery Time: 10 to 12 weeks from date of receipt of confirm PO.(covid-19 may affect delivery schedule)
G/Warranty: 12 months from date of  DISPATCH - only for manufacturing defects
Payment Terms: 100% within 14 days of delivery.
Offer Validity: 31 days from date of offer.
Any statutory changes in rate of tax etc will be applicable as on date of dispatch.
Minimum Order Qty: N/A
Standard packaging will be done for supply of above items.
100% fitment &amp; interchangeability of offered products. In case of any discrepancy, we will replace items promptly for free of cost. </t>
    </r>
  </si>
  <si>
    <t xml:space="preserve">ELECTRONIC CONTROLLER
for ELECTROSTATIC PRECIPITATOR
INTEGRATED, VOLTAGE RATING: 24 V DC;
MODEL/MACHINE NO:EP3-E-4-A EPICIII
Brand:ALSTOM
</t>
  </si>
  <si>
    <t>MGE261011141134</t>
  </si>
  <si>
    <t>MGE261011141135</t>
  </si>
  <si>
    <r>
      <t xml:space="preserve">MOTOR, ELECTRIC
TYPE: INDUCTION, VOLTAGE RATING: 415 V AC, CURRENT RATING: 2.4 A, POWER RATING: 800 W, POWER SUPPLY: 415 V, SPEED: 1380 M/S, SHAFT DIAMETER: 30 MM, FRAME: </t>
    </r>
    <r>
      <rPr>
        <b/>
        <u/>
        <sz val="10"/>
        <color rgb="FF000000"/>
        <rFont val="Cambria"/>
        <family val="1"/>
        <scheme val="major"/>
      </rPr>
      <t>ZDM1 21-4</t>
    </r>
    <r>
      <rPr>
        <sz val="10"/>
        <color rgb="FF000000"/>
        <rFont val="Cambria"/>
        <family val="1"/>
        <scheme val="major"/>
      </rPr>
      <t>, ELECTRICAL POLE QUANTITY: 4P, INSULATION CLASS: F, DUTY RATING: S1, MOUNTING METHOD: FLANGED, PHASE QUANTITY: 3, FREQUENCY: 50 HZ, ENCLOSURE RATING: IP 54, APPLICATION: SHOVEL SLOW SPEED, PTM</t>
    </r>
  </si>
  <si>
    <r>
      <t xml:space="preserve">MOTOR, ELECTRIC; 
TYPE: INDUCTION, VOLTAGE RATING: 415 V, CURRENT RATING: 11 A, POWER RATING: 4.5 KW, POWER SUPPLY: 415 V, SPEED: 1380 M/S, SHAFT DIAMETER: 50 MM, FRAME: </t>
    </r>
    <r>
      <rPr>
        <b/>
        <u/>
        <sz val="10"/>
        <color rgb="FF000000"/>
        <rFont val="Cambria"/>
        <family val="1"/>
        <scheme val="major"/>
      </rPr>
      <t>ZDS1 0.8/4.5</t>
    </r>
    <r>
      <rPr>
        <sz val="10"/>
        <color rgb="FF000000"/>
        <rFont val="Cambria"/>
        <family val="1"/>
        <scheme val="major"/>
      </rPr>
      <t>, ELECTRICAL POLE QUANTITY: 4, INSULATION CLASS: F, DUTY RATING: S1 PCT, MOUNTING METHOD: FLANGED, PHASE QUANTITY: 3, FREQUENCY: 50 HZ, ENCLOSURE RATING: IP 54, APPLICATION: SHOVEL HIGH SPEED, PTM</t>
    </r>
  </si>
  <si>
    <t>MMM201016170174</t>
  </si>
  <si>
    <t>geared Motor 
Model No: BG90Z-11/DHE13MA4/5.5Kw/13.5RPM
Make: IC bauer</t>
  </si>
  <si>
    <t>Testing kit 
for ACB-KFW2-1600/3200, Make- KFine</t>
  </si>
  <si>
    <r>
      <rPr>
        <b/>
        <u/>
        <sz val="10"/>
        <rFont val="Cambria"/>
        <family val="1"/>
        <scheme val="major"/>
      </rPr>
      <t>Terms &amp; Conditions</t>
    </r>
    <r>
      <rPr>
        <sz val="10"/>
        <rFont val="Cambria"/>
        <family val="1"/>
        <scheme val="major"/>
      </rPr>
      <t xml:space="preserve">
Offer Basis FOR Plant basis.
Delivery Time: 8 weeks from date of receipt of confirm PO.
G/Warranty: 12 months from date of  DISPATCH - only for manufacturing defects
Payment Terms: 100% against PI.
Offer Validity: 31 days from date of offer.
Any statutory changes in rate of tax etc will be applicable as on date of dispatch.
Minimum Order Qty: N/A
Standard packaging will be done for supply of above items.
100% fitment &amp; interchangeability of offered products. In case of any discrepancy, we will replace items promptly for free of cost. </t>
    </r>
  </si>
  <si>
    <t>MGE261014100015</t>
  </si>
  <si>
    <t>MGE261014100014</t>
  </si>
  <si>
    <t>STATOR for ELECTRIC MOTOR
TYPE: WINDING, VOLTAGE RATING: 415 V AC, 
CURRENT RATING: 235 A; EQUIP/TAG MODE: V17W, MNFR: HANBELL; FOR CHILLER COMPRESSOR 2A (LOCKED ROTOR CURRENT: 773 A, LUBRICANT: SUNISO 5GS (CAPACITY: 18 L), REFRIGERANT: R22, HYDROSTATIC PRESSURE TEST: 42 KG/CM2.G)</t>
  </si>
  <si>
    <t>STATOR for ELECTRIC MOTOR
TYPE: WINDING, VOLTAGE RATING: 415 V AC,
CURRENT RATING: 309 A; EQUIP/TAG MODE: V19W, MNFR: HANBELL; FOR CHILLER COMPRESSOR 1C (LOCKED ROTOR CURRENT: 1039 A, LUBRICANT: CPI 320 (CAPACITY: 23 L), REFRIGERANT: R22, HYDROSTATIC PRESSURE TEST 42 KG/CM2.G)</t>
  </si>
  <si>
    <t>MGE261012080007</t>
  </si>
  <si>
    <t>MGE261011120124</t>
  </si>
  <si>
    <t>MGE261011120707</t>
  </si>
  <si>
    <t>MOTOR; ELECTRIC; 
TYPE: PERMANENT MAGNETIC
 VOLTAGE RATING: 170 V; POWER RATING: 335-420 W; SPEED: 2000 RPM; ELECTRICAL POLE QUANTITY: 2P; INSULATION CLASS: F; DUTY RATING: S1; ENCLOSURE RATING: IP54; 
OEM PART NO:  AV72B; VENDOR:  MARSMAN; ARTICLE NUMBER:  9389838</t>
  </si>
  <si>
    <t>AC  ELECTRIC MOTOR; 
VOLTAGE RATING: 190/380 V AC; CURRENT RATING: 4/2 A; POWER RATING: 1 HP; SPEED: 1750 RPM; FRAME: 56C; INSULATION CLASS: F; MOUNTING METHOD: FOOT; PHASE QUANTITY: 3PH; FREQUENCY: 50 HZ; TEMPERATURE RATING: 40 DEG C; APPLICATION: ACD RETRACTION; MANUFACTURER PART NO:  U1S2AFC MODEL/MACHINE NO:  F016; DRAWING: U1S2AFC; FR-B56C; 
DUTY CYCLE: CONTINUOUS; EFFICIENCY: 80 PCT</t>
  </si>
  <si>
    <t>SQ CAGE MOTOR, ELECTRIC
TYPE: , VOLTAGE RATING: 440 V AC, CURRENT RATING: 8 A, POWER RATING: 4 KW, POWER SUPPLY: 415 V AC, SPEED: 2900 RPM, FRAME: 182/4T, ELECTRICAL POLE QUANTITY: 2P, INSULATION CLASS: F, DUTY RATING: CONTINUOUS PCT, MOUNTING METHOD: FOOT, PHASE QUANTITY: 3 PH, DIRECTION OF ROTATION: BIDIRECTIONAL, APPLICATION: DEGASSER EXHAUST; MODEL/MACHINE NO: HT003402NPW22DR, VENDOR:  WEG; COMMISSION NO: 811096955</t>
  </si>
  <si>
    <t>UNIT, CONTROL; TYPE: INTELLIGENT TRIP, POWER SUPPLY: 24 VDC, 1600 A, 4P, SPECIFICATION: UNIT 4 TYPE TRIP UNIT; VENDOR:  KFINE; MODEL: KFW2-1600/4P
PICTURE WILL BE SHARED FOR TRIP UNIT</t>
  </si>
  <si>
    <t>UNIT; CONTROL; TYPE: INTELLIGENT TRIP; POWER SUPPLY: 24 VDC; 630 A; MODEL: KFW2-1600/4P, SPECIFICATION:UNIT 4 TYPE TRIP UNIT; VENDOR:  KFINE; POS: 4; POLE QTY: 4
PICTURE WILL BE SHARED FOR TRIP UNIT</t>
  </si>
  <si>
    <t>UNIT; CONTROL; TYPE: INTELLIGENT TRIP; POWER SUPPLY: 24 VDC; 1250 A; 2P; SPECIFICATION: UNIT 4 TYPE TRIP UNIT; VENDOR:  KFINE; NO: 4, MODEL: KFW2-1600/4P
PICTURE WILL BE SHARED FOR TRIP UNIT</t>
  </si>
  <si>
    <t>UNIT, CONTROL; TYPE: INTELLIGENT TRIP 4P 1000A, MODEL: KFW2-1600/4P, SPECIFICATION: UNIT 4 TYPE TRIP UNIT; VENDOR:  KFINE; SUPPLY:24 DC VOLT
PICTURE WILL BE SHARED FOR TRIP UNIT</t>
  </si>
  <si>
    <t>UNIT; CONTROL; TYPE: INTELLIGENT TRIP; POWER SUPPLY: 24 VDC; 400 A; 4P V DC; SPECIFICATION: UNIT 4 TYPE TRIP UNIT; VENDOR:  KFINE; NO: 4, MODEL: KFW2-1600/4P
PICTURE WILL BE SHARED FOR TRIP UNIT</t>
  </si>
  <si>
    <t>UNIT, CONTROL; TYPE: INTELLIGENT TRIP, POWER SUPPLY: 24VDC 800A; VENDOR: KFINE; POLE QTY: 4P, UNIT 4 TYPE TRIP UNIT, MODEL: KFW2-1600/4P
PICTURE WILL BE SHARED FOR TRIP UNIT</t>
  </si>
  <si>
    <t>UNIT, CONTROL; TYPE: INTELLIGENT TRIP, POWER SUPPLY: 24VDC, 1250A; VENDOR: KFINE; POLE QTY: 4P, UNIT 2 TYPE TRIP UNIT, MODEL: KFW2-1600/4P
PICTURE WILL BE SHARED FOR TRIP UNIT</t>
  </si>
  <si>
    <t>UNIT, CONTROL; TYPE: INTELLIGENT TRIP, POWER SUPPLY: 24VDC 400A; VENDOR: KFINE; POLE QTY: 4P, UNIT 2 TYPE TRIP UNIT, MODEL: KFW2-1600/4P
PICTURE WILL BE SHARED FOR TRIP UNIT</t>
  </si>
  <si>
    <t>Male and Female contact</t>
  </si>
  <si>
    <t>Requirement</t>
  </si>
  <si>
    <t xml:space="preserve"> MTU with tripping plunger mechanism. Without Current transformer</t>
  </si>
  <si>
    <t xml:space="preserve"> MTU with tripping plunger mechanism.Without Current transformer</t>
  </si>
  <si>
    <t xml:space="preserve"> MTU with tripping plunger mechanism.
Without Current transformer</t>
  </si>
  <si>
    <t>MAC401016040631</t>
  </si>
  <si>
    <t>FAN, ELECTRIC; TYPE: FRESH AIR, DIAMETER: 150 MM, SPEED: 2300 RPM, VOLTAGE RATING: 230 V AC, POWER RATING: 45 W, CURRENT RATING: 0.29 A; MANUFACTURER PART NO:  R13427074, VENDOR:  ALMONARD PVT LTD, EQUIP/TAG MODE: YWB132S-4, MNFR: SIEMENS; FOR INDUCTION MOTOR</t>
  </si>
  <si>
    <t>MAC401016040017</t>
  </si>
  <si>
    <t>FAN; ELECTRIC; SPEED: 2800 RPM; VOLTAGE RATING: 230 V; POWER RATING: 38 W; VENDOR:  BRAUN GMBH; VENDOR:  HICOOL; REFERENCE NO:  D421.51U1; MANUFACTURER:  BRAUN GMBH; F/INDUSTRIC ELEKTRONIK; POWER SUPPLY 18-40 V; 5 VA</t>
  </si>
  <si>
    <t>MAC401016040116</t>
  </si>
  <si>
    <t>FAN; TYPE: DRY TRANSFORMER PCC COOLING, VOLTAGE: 250 V AC, POWER: 80 W, AIR FLOW CAPACITY: 1000 M3/H, APPLICATION: DRY TYPE TRANSFORMER PCC; VENDOR: SHANDONG LINQING YIHE TRANSFORMER CO LTD, MODEL/MACHINE NO:  GFDD 470-155</t>
  </si>
  <si>
    <t>MAC401016040660</t>
  </si>
  <si>
    <t>MAC401016040659</t>
  </si>
  <si>
    <t>FAN, ELECTRIC; TYPE: COOLING, DIAMETER: 4 ", SPEED: 50 RPM, VOLTAGE RATING: 230 V AC, POWER RATING: 18 W; FOR PLC PANEL</t>
  </si>
  <si>
    <t>RELAY, CONTROL; REFERENCE NO:  PCK  TOP9140G-20C, PICTURE WILL BE SHARED FOR TRIP UNIT</t>
  </si>
  <si>
    <t>CONTACT; MOVEABLE; APPLICATION: AIR CIRCUIT BREAKER; EQUIP/TAG MODE: KFW2-1600
MALE &amp; FEMALE CONNECTOR FOR KFW2-1600 3P/4P, PICTURE WILL BE SHARED FOR TRIP UNIT</t>
  </si>
  <si>
    <t>UNIT, CONTROL; TYPE: INTELLIGENT TRIP, POWER SUPPLY: 24VDC 630A; VENDOR: KFINE; POLE QTY: 4P, UNIT 2 TYPE TRIP UNIT, MODEL: KFW2-1600/4P
PICTURE WI,LL BE SHARED FOR TRIP UNIT</t>
  </si>
  <si>
    <t>MEL391210100532</t>
  </si>
  <si>
    <t>Gina</t>
  </si>
  <si>
    <t>THERMOMETER, DIAL; OEM PART NO:  LD-B10-A220EFTH  DIGITAL,</t>
  </si>
  <si>
    <r>
      <t xml:space="preserve">Contactor
Model Number: JCZ16-12J/D400-4.5:
</t>
    </r>
    <r>
      <rPr>
        <b/>
        <u/>
        <sz val="10"/>
        <rFont val="Tahoma"/>
        <family val="2"/>
      </rPr>
      <t>NOTE: Offered item as per pic provided by end user</t>
    </r>
  </si>
  <si>
    <t>N/a</t>
  </si>
  <si>
    <t>MEL391210330179</t>
  </si>
  <si>
    <t>MEL391210320062</t>
  </si>
  <si>
    <t>MEL391210320068</t>
  </si>
  <si>
    <t>MEL391210320126</t>
  </si>
  <si>
    <t>MEL391210320304</t>
  </si>
  <si>
    <t>MEL391210320305</t>
  </si>
  <si>
    <t>MEL391210320310</t>
  </si>
  <si>
    <t>MEL391210320306</t>
  </si>
  <si>
    <t>MEL391210320311</t>
  </si>
  <si>
    <t>MEL391210320307</t>
  </si>
  <si>
    <t>TRANSFORMER, POTENTIAL; TYPE: INDORE, PRIMARY VOLTAGE RATING: 11 KV, APPARENT POWER: 60 VA, COOLING TYPE: NATURAL AIR, ACCURACY: CL 0.2, PHASE QUANTITY: 1PH; MODEL/MACHINE NO: JDZX11-10, VENDOR:  GE</t>
  </si>
  <si>
    <t>TRANSFORMER, CURRENT; CURRENT RATIO: 600/5 A; EQUIP/TAG MODE: TA6000</t>
  </si>
  <si>
    <t>TRANSFORMER, CURRENT; CURRENT RATIO: 75/5 A</t>
  </si>
  <si>
    <t>TRANSFORMER, CURRENT; CURRENT RATIO: 300/5 A, ACCURACY: CL 5P20/0.5; MANUFACTURER PART NO:  LZZBJ9-10, VENDOR:  TIANSHUI CHANGKAI TRANSFORMERS</t>
  </si>
  <si>
    <t>TRANSFORMER, CURRENT; TYPE: WOUND, (2) CORE, INDORE, PRIMARY VOLTAGE RATING: 12 KV, CURRENT RATIO: 750/1 A, APPARENT POWER: 30/20 VA, PHASE QUANTITY: 1PH, COOLING TYPE: NATURAL AIR, ACCURACY: 5P30/0.5; MODEL/MACHINE NO:  LZZBJ9-10C5, VENDOR:  GE</t>
  </si>
  <si>
    <t>TRANSFORMER, CURRENT; TYPE: RING, PRIMARY VOLTAGE RATING: 12 KV, CURRENT RATIO: 3000/5 A, APPARENT POWER: 30/30/30/20 VA, PHASE QUANTITY: 1PH, COOLING TYPE: NATURAL AIR, ACCURACY: 5P20/5P20/5P20/0.2S; MODEL/MACHINE NO:  LMZB3-10G, VENDOR:  GE</t>
  </si>
  <si>
    <t>TRANSFORMER, CURRENT; TYPE: RING, INDORE, PRIMARY VOLTAGE RATING: 12 KV, CURRENT RATIO: 4000/5 A, APPARENT POWER: 30/30/30/20 VA, PHASE QUANTITY: 1PH, COOLING TYPE: NATURAL AIR, ACCURACY: 5P20/5P20/5P20/0.2S; MANUFACTURER PART NO:  LMBJ-10, VENDOR:  GE</t>
  </si>
  <si>
    <t>TRANSFORMER, CURRENT; TYPE: CORE BALANCE, PRIMARY VOLTAGE RATING: 12 KV, CURRENT RATIO: 100/5 A, APPARENT POWER: 10 VA, PHASE QUANTITY: 3PH, COOLING TYPE: NATURAL AIR, ACCURACY: 10P10; MANUFACTURER PART NO:  AK-LH160J, VENDOR:  GE</t>
  </si>
  <si>
    <t>TRANSFORMER, CURRENT; TYPE: CORE BALANCE, PRIMARY VOLTAGE RATING: 12 KV, CURRENT RATIO: 100/5 A, APPARENT POWER: 10 VA, COOLING TYPE: NATURAL AIR, ACCURACY: 10P10; MANUFACTURER PART NO:  AK-LH300J, VENDOR:  GE</t>
  </si>
  <si>
    <t>TRANSFORMER, CURRENT; TYPE: CORE BALANCE, PRIMARY VOLTAGE RATING: 11 KV, CURRENT RATIO: 100/5 A, APPARENT POWER: 10 VA, PHASE QUANTITY: 3PH, COOLING TYPE: NATURAL AIR, ACCURACY: 10P10; MODEL/MACHINE NO:  AK-LH 760X200, VENDOR:  GE</t>
  </si>
  <si>
    <t>MAC401417370115</t>
  </si>
  <si>
    <t>MAC401417370694</t>
  </si>
  <si>
    <t>MAC401417370693</t>
  </si>
  <si>
    <t>MLB411119500315</t>
  </si>
  <si>
    <t>MLB411119500317</t>
  </si>
  <si>
    <t>MLB411119500316</t>
  </si>
  <si>
    <t>MLB411119500314</t>
  </si>
  <si>
    <t>MLB411119500313</t>
  </si>
  <si>
    <t>MAC401425120376</t>
  </si>
  <si>
    <t>MAC401425120130</t>
  </si>
  <si>
    <t>MAC401425120375</t>
  </si>
  <si>
    <t>MEL391219000155</t>
  </si>
  <si>
    <t>MLB411121050287</t>
  </si>
  <si>
    <t>MAC401016040444</t>
  </si>
  <si>
    <t>DIAPHRAGM; TYPE: AIR CELL, DIMENSIONS:  DIA 1.2 X LG 4.2 M, PRESSURE RATING: 7  KG/CM2, MATERIAL: RUBBER, APPLICATION:  CONSERVATOR TANK, TRANSFORMER</t>
  </si>
  <si>
    <t>DIAPHRAGM; TYPE: AIR CELL, DIMENSIONS:  DIA 1.2 X LG 3.4 M, PRESSURE RATING: 0 .5 BAR, MATERIAL: RUBBER, APPLICATION:  CONSERVATOR TANK; FOR TRANSFORMER  (CAPACITY: 80 MVA)</t>
  </si>
  <si>
    <t>DIAPHRAGM; TYPE: AIR CELL, DIMENSIONS:  DIA 1.4 X LG 4.61 M, PRESSURE RATING:  0.5 BAR, MATERIAL: RUBBER,  APPLICATION: CONSERVATOR TANK; FOR  TRANSFORMER (CAPACITY: 88 MVA)</t>
  </si>
  <si>
    <t>GAUGE, LEVEL; MEASUREMENT RANGE: 0-10  LEVELS, CONNECTION SIZE: 156 MM,  CONNECTION TYPE: FLANGED, ACCURACY: CL  1, TYPE: FLOATING BALL, OIL,  TEMPERATURE RATING: -30 TO +95 DEG C;  MODEL/MACHINE NO:  YZF2-250/L1400;  DIAL SIZE: 250 MM, LENGTH OF  CONNECTING ROD: 1400 MM, POINTER  ANGLE: 270 DEG, VOLTAGE RAING: 220 V,  CURRENT RATING: 3 A; FOR GENERATOR  TRANSFORMER (CAPACITY: 270 MVA)</t>
  </si>
  <si>
    <t>GAUGE, LEVEL; MEASUREMENT RANGE: 0-10  LEVELS, CONNECTION SIZE: 156 MM,  CONNECTION TYPE: FLANGED, ACCURACY: CL  1, TYPE: FLOAT BALL, OIL, TEMPERATURE  RATING: -30 TO +95 DEG C;  MODEL/MACHINE NO:  YZF2-250/L1650;  DIAL SIZE: 250 MM, LENGTH OF  CONNECTING ROD: 1650 MM, POINTER  ANGLE: 270 DEG, VOLTAGE RAING: 220 V,  CURRENT RATING: 3 A; FOR STATION  TRANSFORMER (CAPACITY: 88 MVA)</t>
  </si>
  <si>
    <t>GAUGE, LEVEL; MEASUREMENT RANGE: 0-10  LEVELS, CONNECTION SIZE: 195 MM,  CONNECTION TYPE: FLANGED, ACCURACY: CL  1, TYPE: FLOAT BALL, OIL, TEMPERATURE  RATING: -30 TO +95 DEG C;  MODEL/MACHINE NO:  YZF2-200/L600; DIAL  SIZE: 200 MM, LENGTH OF CONNECTING  ROD: 600 MM, POINTER ANGLE: 120 DEG,  VOLTAGE RAING: 220 V, CURRENT RATING:  3 A; FOR STATION TRANSFORMER  (CAPACITY: 88 MVA)</t>
  </si>
  <si>
    <t>GAUGE, LEVEL; MEASUREMENT RANGE: 0-10  LEVELS, CONNECTION SIZE: 156 MM,  CONNECTION TYPE: FLANGED, ACCURACY: CL  1, TYPE: FLOAT BALL, OIL, TEMPERATURE  RATING: -30 TO +95 DEG C;  MODEL/MACHINE NO:  YZF2-250/L1450;  DIAL SIZE: 250 MM, LENGTH OF  CONNECTING ROD: 1450 MM, POINTER  ANGLE: 270 DEG, VOLTAGE RAING: 220 V,  CURRENT RATING: 3 A; FOR UNIT  TRANSFORMER (CAPACITY: 80 MVA)</t>
  </si>
  <si>
    <t>GAUGE, LEVEL; MEASUREMENT RANGE: 0-10
LEVELS, CONNECTION SIZE: 195 MM,
CONNECTION TYPE: FLANGED, ACCURACY: CL
1, TYPE: FLOAT BALL, OIL, TEMPERATURE
RATING: -30 TO +95 DEG C;
MODEL/MACHINE NO:  YZF2-200/L500; DIAL
SIZE: 200 MM, LENGTH OF CONNECTING
ROD: 500 MM, POINTER ANGLE: 120 DEG,
VOLTAGE RAING: 220 V, CURRENT RATING:
3 A; FOR UNIT TRANSFORMER (CAPACITY:
80 MVA)</t>
  </si>
  <si>
    <t>BREATHER; TYPE: DEHYDRATING, MATERIAL:  ALUMINIUM, DIMENSIONS: 165 X 500 MM,  CONNECTION SIZE: 110 MM, CONNECTION  TYPE: FLANGED, MEDIA/RESISTANCE:  SILICA GEL, APPLICATION: POWER  TRANSFORMER; MODEL/MACHINE NO:  XS2-5,  VENDOR:  SHENYANG HUIXIN TRANSFORMER  COMPONENT</t>
  </si>
  <si>
    <t>BREATHER; TYPE: DEHYDRATING,  MEDIA/RESISTANCE: SILICA GEL,  APPLICATION: GENERATOR  TRANSFORMER(CAPACITY: 370 MVA);  VENDOR:  SHENYANG HUIXIN TRANSFORMER  COMPONENT, MODEL/MACHINE NO:  XS2-0.5,  SERIAL: 08856; CONTAINER CAPACITY: 5  KG</t>
  </si>
  <si>
    <t>BREATHER; TYPE: DEHYDRATING, MATERIAL:  ALUMINIUM, DIMENSIONS: 165 X 420 MM,  CONNECTION SIZE: 110 MM, CONNECTION  TYPE: FLANGED, MEDIA/RESISTANCE:  SILICA GEL, APPLICATION: POWER  TRANSFORMER; MODEL/MACHINE NO:  XS2-3,  VENDOR:  SHENYANG HUIXIN TRANSFORMER  COMPONENT</t>
  </si>
  <si>
    <t>DEVICE; TYPE: GAS SAMPLING,  APPLICATION: GENERATOR TRANSFORMER  (CAPACITY: 370 MVA); VENDOR:  SHENYANG  TRANSFORMER FACTORY CHINA,  MODEL/MACHINE NO:  DQ3-25, SERIAL:  11Q3</t>
  </si>
  <si>
    <t>TRANSMITTER, TEMPERATURE; TYPE: WINDING , MEASUREMENT RANGE: 0-160 DEG C,  OUTPUT: 4-20 MA, POWER SUPPLY: 12-30 V  DC, BODY MATERIAL: DIECAST ALUMINIUM,  ENCLOSURE RATING: IP55, APPLICATION:  GENERATOR TRANSFORMER, STANDARD: IEC  751; MANUFACTURER PART NO:  635179.02,  MANUFACTURER:  MESSKO GMBH, EQUIP/TAG  MODEL:  DFP-270000/400TH</t>
  </si>
  <si>
    <t>FAN, ELECTRIC; TYPE: COOLING, VOLTAGE  RATING: 415 V AC, INSULATION CLASS: F;  OEM PART NO:  CFZ-5Q6TH, VENDOR:  SEPCO ELECTRIC POWER</t>
  </si>
  <si>
    <t>Air Cell 1200*4200 for 275MVA GT</t>
  </si>
  <si>
    <t>Air Cell 1200×3400 for 80MVA UT</t>
  </si>
  <si>
    <t>Air Cell 1410*4610 for 88MVA ST</t>
  </si>
  <si>
    <t>Oil Level gauge YZF2-250/L=1400 GT</t>
  </si>
  <si>
    <t>Oil Level gauge YZF2-250/L=1650 ST</t>
  </si>
  <si>
    <t>Oil Level gauge YZF2-200/L=600 ST-OLTC</t>
  </si>
  <si>
    <t>Oil Level gauge YZF2-250/L=1450 UT</t>
  </si>
  <si>
    <t>Oil Level gaugeYZF2-200/L=500  UT-OLTC</t>
  </si>
  <si>
    <t>Breather XS2-5 GT ST</t>
  </si>
  <si>
    <t>Breather XS2-0.5 ST UAT</t>
  </si>
  <si>
    <t>Breather XS2-3 UAT</t>
  </si>
  <si>
    <t xml:space="preserve">Gas Guide Cell DQ3-25 GT ST UT </t>
  </si>
  <si>
    <t>WTI Tramsmitter 635179.02 GT ST UT</t>
  </si>
  <si>
    <t>Cooler Fan DBF-5Q6TH for UT</t>
  </si>
  <si>
    <t>Set</t>
  </si>
  <si>
    <t>MAC401515030709</t>
  </si>
  <si>
    <t>PMP CNTRFGL;PN:150LY-23-1;MAIN STRAT-UP.
PUMP, CENTRIFUGAL; TYPE: MAIN START-UP  OIL,FLOW RATE: 6300 L/MIN,PRESSURE  RATING: 0.20 MPA,SPEED: 1450 RPM ,MOUNTING METHOD: VERTICAL,TOTAL HEAD:  22.4 M,BODY MATERIAL: CAST IRON ,MEDIA/RESISTANCE: OIL,APPLICATION:  MAIN TURBINE; MANUFACTURER PART NO:  150LY-23-1, MANUFACTURER:  CHENGDU  INSTITUTE OF PUMP'S, EQUIP/TAG MODEL:  N600-16.7/538/538-3; EFFICIENCY:  70  PCT, WEIGHT: 900 KG, WITH MOTOR (MODEL  NO: YB2225M-4TH, POWER: 45 KW, VOLTAGE  RATING: 415 V AC, CURRENT RATING: 76 A , MOUNTING METHOD: FLANGED, POLE  QUANTITY: 4P)</t>
  </si>
  <si>
    <t>MAC401515030707</t>
  </si>
  <si>
    <t>PMP CNTRFGL;PN:125LY-36-1;TERTIARY OIL.
PUMP, CENTRIFUGAL; TYPE: TERTIARY OIL  (TOP),FLOW RATE: 4685 L/MIN,PRESSURE
 RATING: 0.32 MPA,SPEED: 1450 RPM ,DRIVER: 55 KW,MOUNTING METHOD: VERTICAL,TOTAL HEAD: 22.4 M,BODY  MATERIAL: CAST IRON,MEDIA/RESISTANCE:  OIL,APPLICATION: MAIN TURBINE;
 MANUFACTURER PART NO:  125LY-36-1, MANUFACTURER:  CHENGDU INSTITUTE OF
 PUMP'S, EQUIP/TAG MODEL:  N600-16.7/538/538-3; FFICIENCY: 66 PCT, WEIGHT: 790 KG, WITH MOTOR (MODEL NO:  YB2-220M 4TH, POWER RATING: 55 KW,  VOLTAGE RATING:  415 V AC, CURRENT  RATING: 94 A, MOUNTING METHOD: FLANGED , POLE QUANTITY: 4P)</t>
  </si>
  <si>
    <t>MAC401515030708</t>
  </si>
  <si>
    <t>PMP CNTRFGL;PN:125LY-32-1;EMERG OIL.
PUMP, CENTRIFUGAL; TYPE: EMERGENCY OIL  (EOP),FLOW RATE: 3820 L/MIN,PRESSURE
 RATING: 0.28 MPA,SPEED: 1500 RPM ,MOUNTING METHOD: VERTICAL,TOTAL HEAD:
 22.4 M,BODY MATERIAL: CAST IRON ,MEDIA/RESISTANCE: OIL,APPLICATION:  MAIN TURBINE; MANUFACTURER PART NO:  125LY-32-1, MANUFACTURER:  CHENGDU  INSTITUTE OF PUMP'S, EQUIP/TAG MODEL:  N600-16.7/538/538-3; EFFICIENCY: 65  PCT, WEIGHT: 730 KG, WITH MOTOR (MODEL  NO: Z2-82-L3-TH, POWER RATING: 40KW,  VOLTAGE RATING: 220 V DC, SPEED: 1500
 RPM, CURRENT RATING: 206 A, MOUNTING  METHOD: FLANGED)</t>
  </si>
  <si>
    <t>MAC401517310034</t>
  </si>
  <si>
    <t>ROTR PMP;PN:D600B-511100B;MAIN TRBN OIL.
ROTOR, PUMP; APPLICATION: MAIN TURBINE  OIL PUMP (MOP); OEM PART NO:  D600B
-511100B, OEM:  DONGFANG TURBINE CO.  LTD; DRAWING: (WBL)D600B-511000B, REV:
 A, POS: 1; SET CONSIST OF ROTOR,  IMPELLER, KEY, SLEEVE, JOURNAL BEARING , OIL SEAL</t>
  </si>
  <si>
    <t>Ea</t>
  </si>
  <si>
    <t>Chengdu</t>
  </si>
  <si>
    <t>Dora</t>
  </si>
  <si>
    <t>Considered</t>
  </si>
  <si>
    <r>
      <rPr>
        <b/>
        <u/>
        <sz val="10"/>
        <rFont val="Calibri Light"/>
        <family val="2"/>
      </rPr>
      <t>Terms &amp; Conditions</t>
    </r>
    <r>
      <rPr>
        <sz val="10"/>
        <rFont val="Calibri Light"/>
        <family val="2"/>
      </rPr>
      <t xml:space="preserve">
Offer Basis FOR  Plant basis.
Delivery Time: 14 to 16 weeks from date of receipt of confirm PO.(covid-19 may affect delivery schedule)
G/Warranty: 12 months from date of  DISPATCH - only for manufacturing defects
Payment Terms: 100% against PI, prior to delivery of items. Item readiness pics/documents will be submitted with PI.
Offer Validity: 31 days from date of offer.
Any statutory changes in rate of tax etc will be applicable as on date of dispatch.
Minimum Order Qty: N/A
Standard packaging will be done for supply of above items.
100% fitment &amp; interchangeability of offered products. In case of any discrepancy, we will replace items promptly for free of cost. </t>
    </r>
  </si>
  <si>
    <r>
      <rPr>
        <b/>
        <u/>
        <sz val="10"/>
        <rFont val="Cambria"/>
        <family val="1"/>
        <scheme val="major"/>
      </rPr>
      <t>Terms &amp; Conditions</t>
    </r>
    <r>
      <rPr>
        <sz val="10"/>
        <rFont val="Cambria"/>
        <family val="1"/>
        <scheme val="major"/>
      </rPr>
      <t xml:space="preserve">
Offer Basis FOR  Plant basis.
Delivery Time: 10 to 12 weeks from date of receipt of confirm PO.(covid-19 may affect delivery schedule)
G/Warranty: 12 months from date of  DISPATCH - only for manufacturing defects
Payment Terms: 100% against PI prior to delivery.
Offer Validity: 31 days from date of offer.
Any statutory changes in rate of tax etc will be applicable as on date of dispatch.
Minimum Order Qty: N/A
Standard packaging will be done for supply of above items.
100% fitment &amp; interchangeability of offered products. In case of any discrepancy, we will replace items promptly for free of cost. </t>
    </r>
  </si>
  <si>
    <t>Cross flow Fan For Dry Type Transformer
Model: GFDD-470-155
Flow direction: Dextrorotation flow type
No of Phase: Single Voltage: 220 VAC, 50 hz
Speed of rotation: 1400 RPM
Power: 80 watt, Air volume: 1000m3 / hour
Noise: &lt;57 db, Blade: Material: Aluminum
TOP Blow, Blade Material: Aluminum</t>
  </si>
  <si>
    <t>MEL391222170002</t>
  </si>
  <si>
    <t>MEL391222170018</t>
  </si>
  <si>
    <t>MEL391222000126</t>
  </si>
  <si>
    <t>MEL391222170091</t>
  </si>
  <si>
    <t>Present GST Rate 18% applicable against HSN 8536</t>
  </si>
  <si>
    <t>SELECTOR SWITCH;
MANUFACTURER PART NO:  XR2AA03_6TOURS,
VENDOR: TELEMECANIQUE, OEM PART NO:  224103</t>
  </si>
  <si>
    <t>SELECTOR SWITCH, POSITION QUANTITY: 3 STAY PUT; MODEL/MACHINE NO:  MODEL:XB4-BD33; VENDOR:  TELEMECANIQUE 30 NO</t>
  </si>
  <si>
    <t>SWITCH; APPLICATION: MAIN BATTERY;
SUPPLIER PART NO:  6EK 001 559-001 Main Switch, MAKE: HELLA</t>
  </si>
  <si>
    <r>
      <t xml:space="preserve">SELECTOR SWITCH; TYPE: STAY PUT
TELEMECANIQUE PART NO:  </t>
    </r>
    <r>
      <rPr>
        <b/>
        <sz val="10"/>
        <rFont val="Calibri"/>
        <family val="2"/>
        <scheme val="minor"/>
      </rPr>
      <t xml:space="preserve">XB5AD33C
</t>
    </r>
    <r>
      <rPr>
        <sz val="10"/>
        <rFont val="Calibri"/>
        <family val="2"/>
        <scheme val="minor"/>
      </rPr>
      <t xml:space="preserve">EQUIP/TAG MODEL:  20213034
VOLTAGE RATING: 600 VAC/DC,CURRENT RATING: 6 A,
CONTACT ARRANGEMENT: 2NO,POSITION QUANTITY: 3,OPERATED: MANUAL,DIMENSIONS: WD 30 X LG 41.5 X DP 70 MM APPLICATION: GOOD ANODE CONVEYOR; </t>
    </r>
  </si>
  <si>
    <r>
      <rPr>
        <b/>
        <u/>
        <sz val="10"/>
        <rFont val="Calibri"/>
        <family val="2"/>
        <scheme val="minor"/>
      </rPr>
      <t>Terms &amp; Conditions</t>
    </r>
    <r>
      <rPr>
        <sz val="10"/>
        <rFont val="Calibri"/>
        <family val="2"/>
        <scheme val="minor"/>
      </rPr>
      <t xml:space="preserve">
Offer Basis FOR  Plant basis.
Delivery Time: 10 to 12 weeks from date of receipt of confirm PO.(covid-19 may affect delivery schedule)
G/Warranty: 12 months from date of  DISPATCH - only for manufacturing defects
Payment Terms: 100% against PI prior to delivery.
Offer Validity: 31 days from date of offer.
Any statutory changes in rate of tax etc will be applicable as on date of dispatch.
Minimum Order Qty: N/A
Standard packaging will be done for supply of above items.
100% fitment &amp; interchangeability of offered products. In case of any discrepancy, we will replace items promptly for free of cost. </t>
    </r>
  </si>
  <si>
    <t>MEL391219000176</t>
  </si>
  <si>
    <t xml:space="preserve">ISOLATOR, ELECTRICAL
TYPE: DIRECT CURRENT LOAD BREAK,
VOLTAGE: 72 KV, CURRENT: 2 A, 
ELECTRICAL POLE QUANTITY: 2P, 
APPLICATION: ELECTROSTATIC PRECIPITATOR; MODEL/MACHINE NO:  GN3-72/3-2S
AMBIENT TEMPERATURE: -20 TO 60 DEG C
</t>
  </si>
  <si>
    <t>Present GST Rate 18% applicable against HSN 8546</t>
  </si>
  <si>
    <r>
      <rPr>
        <b/>
        <u/>
        <sz val="10"/>
        <rFont val="Calibri"/>
        <family val="2"/>
        <scheme val="minor"/>
      </rPr>
      <t>Terms &amp; Conditions</t>
    </r>
    <r>
      <rPr>
        <sz val="10"/>
        <rFont val="Calibri"/>
        <family val="2"/>
        <scheme val="minor"/>
      </rPr>
      <t xml:space="preserve">
Offer Basis FOR  Plant basis.
Delivery Time: 12 weeks from date of receipt of confirm PO.(covid-19 may affect delivery schedule)
G/Warranty: 12 months from date of  DISPATCH - only for manufacturing defects
Payment Terms: 100% against PI prior to delivery.
Offer Validity: 31 days from date of offer.
Any statutory changes in rate of tax etc will be applicable as on date of dispatch.
Minimum Order Qty: N/A
Standard packaging will be done for supply of above items.
100% fitment &amp; interchangeability of offered products. In case of any discrepancy, we will replace items promptly for free of cost. </t>
    </r>
  </si>
  <si>
    <t>MEL391222130646</t>
  </si>
  <si>
    <t>SWITCH, LIMIT; TYPE: MICRO, VOLTAGE RATING: 125/250 V AC, CURRENT RATING: 5 A, CONTACT ARRANGEMENT: 1NO-1NC, ACTUATOR: LEVER, APPLICATION: PRESSURE RELIEF VALVE, TRANSFORMER; MODEL/MACHINE NO:  LXW5
EQUIP/TAG MODE: YSF8-70/130, MNFR: SHENYANG TRANSFORMER INSTITUTE ELECTRONIC SCIENCE &amp; TECHNOLOGY CO LTD</t>
  </si>
  <si>
    <t>Electric Shops</t>
  </si>
  <si>
    <t>Present GST Rate 18% applicable against HSN 8501</t>
  </si>
  <si>
    <t>Carbonari</t>
  </si>
  <si>
    <r>
      <t xml:space="preserve">MOTOR; ELECTRIC; 
TYPE: PERMANENT MAGNETIC
 VOLTAGE RATING: 170 V; POWER RATING: 335-420 W; SPEED: 2000 RPM; ELECTRICAL POLE QUANTITY: 2P; INSULATION CLASS: F; DUTY RATING: S1; ENCLOSURE RATING: IP54; 
OEM PART NO:  AV72B upgraded to </t>
    </r>
    <r>
      <rPr>
        <b/>
        <u/>
        <sz val="10"/>
        <color rgb="FF000000"/>
        <rFont val="Cambria"/>
        <family val="1"/>
        <scheme val="major"/>
      </rPr>
      <t>V725B</t>
    </r>
  </si>
  <si>
    <t>MEL391223290071</t>
  </si>
  <si>
    <t xml:space="preserve">RELAY, TIME DELAY
TYPE: AC, MULTI-RANGE ANALOGUE, CURRENT RATING: 5 A, LINE VOLTAGE: 250 V AC, TERMINAL TYPE: SOCKET JT, STANDARD: CE;
MANUFACTURER PART NO:  AH3-3 </t>
  </si>
  <si>
    <t>Skyland</t>
  </si>
  <si>
    <r>
      <rPr>
        <b/>
        <u/>
        <sz val="10"/>
        <rFont val="Cambria"/>
        <family val="1"/>
        <scheme val="major"/>
      </rPr>
      <t>Terms &amp; Conditions</t>
    </r>
    <r>
      <rPr>
        <sz val="10"/>
        <rFont val="Cambria"/>
        <family val="1"/>
        <scheme val="major"/>
      </rPr>
      <t xml:space="preserve">
Offer Basis FOR  Plant basis.
Delivery Time: 4 weeks from date of receipt of confirm PO.(covid-19 may affect delivery schedule)
G/Warranty: 12 months from date of  DISPATCH - only for manufacturing defects
Payment Terms: 100% within 14 days of delivery.
Offer Validity: 31 days from date of offer.
Any statutory changes in rate of tax etc will be applicable as on date of dispatch.
Minimum Order Qty: N/A
Standard packaging will be done for supply of above items.
100% fitment &amp; interchangeability of offered products. In case of any discrepancy, we will replace items promptly for free of cost. </t>
    </r>
  </si>
  <si>
    <t>MEL391223290025</t>
  </si>
  <si>
    <t>RELAY; TIME DELAY; 
TYPE: RESISTIVE LOAD; TIME DELAY: 0-3 MIN; COIL VOLTAGE: 210 V; CONTACT RATING: 5 A; TERMINAL TYPE: 8 PIN; MODEL/MACHINE NO:  AH3-2; VENDOR:  CIKACHI ELECTRIC CO.LTD</t>
  </si>
  <si>
    <r>
      <rPr>
        <b/>
        <u/>
        <sz val="10"/>
        <rFont val="Cambria"/>
        <family val="1"/>
        <scheme val="major"/>
      </rPr>
      <t>Terms &amp; Conditions</t>
    </r>
    <r>
      <rPr>
        <sz val="10"/>
        <rFont val="Cambria"/>
        <family val="1"/>
        <scheme val="major"/>
      </rPr>
      <t xml:space="preserve">
Offer Basis FOR  Plant basis.
Delivery Time: 12 to 14 weeks from date of receipt of confirm PO.(covid-19 may affect delivery schedule)
G/Warranty: 12 months from date of  DISPATCH - only for manufacturing defects
Payment Terms: 100% within 14 days of delivery.
Offer Validity: 31 days from date of offer.
Any statutory changes in rate of tax etc will be applicable as on date of dispatch.
Minimum Order Qty: N/A
Standard packaging will be done for supply of above items.
100% fitment &amp; interchangeability of offered products. In case of any discrepancy, we will replace items promptly for free of cost. </t>
    </r>
  </si>
  <si>
    <t>MEL391215290689</t>
  </si>
  <si>
    <t>MEL391223310321</t>
  </si>
  <si>
    <t>MEL391216150021</t>
  </si>
  <si>
    <t>MEL391216030192</t>
  </si>
  <si>
    <t>MEL391216030199</t>
  </si>
  <si>
    <t>MGE261216000081</t>
  </si>
  <si>
    <t>MIA321215010044</t>
  </si>
  <si>
    <t>MEL391222190132</t>
  </si>
  <si>
    <t>MEL391118150092</t>
  </si>
  <si>
    <t>MEL391215230074</t>
  </si>
  <si>
    <t>MEL391215230035</t>
  </si>
  <si>
    <t>MEL391215291337</t>
  </si>
  <si>
    <t>MEL391214100983</t>
  </si>
  <si>
    <t>MEL391215230271</t>
  </si>
  <si>
    <t>MEL391223310698</t>
  </si>
  <si>
    <t>MEL391223311716</t>
  </si>
  <si>
    <t>MEL391223330020</t>
  </si>
  <si>
    <t>MEL391223330055</t>
  </si>
  <si>
    <t>MHW311631000069</t>
  </si>
  <si>
    <t>CONTACTOR; TYPE: DIRECT CURRENT; COIL VOLTAGE: 220 V DC; CURRENT RATING: 10 A; CONTACT ARRANGEMENT: 3NO-1NC; MAXIMUM CURRENT RATING: 1 KA</t>
  </si>
  <si>
    <t>RELAY, CONTROL; COIL VOLTAGE: 220 V AC, CURRENT RATING: 15 A; MODEL/MACHINE NO:  RU2S A220VAC, VENDOR:  IDEC</t>
  </si>
  <si>
    <t>BREAKER, CIRCUIT; TYPE: AIR, CURRENT RATING: 630 A, VOLTAGE RATING: 415 V, ELECTRICAL POLE QUANTITY: 3P, INTERRUPT CAPACITY: 40 KA</t>
  </si>
  <si>
    <t>BREAKER, CIRCUIT; TYPE: MINIATURE, VOLTAGE RATING: 400 V, ELECTRICAL POLE QUANTITY: 4P, INTERRUPT CAPACITY: 10 KA; MODEL/MACHINE NO:  C40; FREQUENCY: 50 HZ</t>
  </si>
  <si>
    <t>RELAY; CONTROL; TYPE: INTELLIGENCE; COIL VOLTAGE: 240/110-220 VAC/DC; CURRENT RATING: 100 A; APPLICATION: INTELLIGENCE RELAY; VENDOR:  SUZHOU WANLONG GROUP CO LTD; MODEL/MACHINE NO:  503-HA-100-V; DIRECT START UP; TRIP CLASS: 10A; MODBUS PROTOCOL; COMMUNICATION-MODE BUS</t>
  </si>
  <si>
    <t>RELAY; CONTROL; TYPE: INTELLIGENCE; COIL VOLTAGE: 110-220 V DC; CURRENT RATING: 250 A; VENDOR:  SUZHOU WANLONG GROUP CO LTD; MODEL/MACHINE NO:  ST503-HA-250-V; DO: 110V/ 220 VDC; AUX POWER: 110V/220 VDC+ 220 VAC; START TYPE: DIRECT START UP; TRIP CLASS: 10A; MODBUS PROTOCOL</t>
  </si>
  <si>
    <t>BREAKER, CIRCUIT; TYPE: MINIATURE, CURRENT RATING: 16 A, VOLTAGE RATING: 240/415 V, ELECTRICAL POLE QUANTITY: 1P, MOUNTING METHOD: DIN RAIL</t>
  </si>
  <si>
    <t>CABLE, ELECTRICAL; TYPE: LINEAR HEAT SENSING, CONDUCTOR QUANTITY: 2C, CONDUCTOR DIAMETER: 3.5-4.5 MM</t>
  </si>
  <si>
    <t>CAPACITOR; TYPE: ELECTROLYTIC, FILTER, CAPACITANCE: 4700 MFD, VOLTAGE RATING: 385 V DC; OEM PART NO:  PG-6DI, VENDOR:  ALCON ELECTRONICS PVT. LTD; OPERATING TEMPERATURE: -40 TO 85 DEG C</t>
  </si>
  <si>
    <t>SWITCH, LEVEL; VOLTAGE RATING: 230 VAC/DC, CURRENT RATING: 5 A, MEASUREMENT RANGE: 0-3 M, PRESSURE RANGE: 0.1 MPA, TEMPERATURE RATING: MAX 80 DEG C, CABLE LENGTH: 5 M, ACTUATION METHOD: FLOAT, APPLICATION: WATER</t>
  </si>
  <si>
    <t>LIGHT; TYPE: REVOLVING, VOLTAGE: 230 V AC, COLOR: RED; OEM PART NO:  RL200, VENDOR:  KHERAJ ELECTRICAL INDUSTRIES PVT LTD</t>
  </si>
  <si>
    <t>TIMER; MEASUREMENT RANGE: 0-180 S, VOLTAGE RATING: 220 V AC; MODEL/MACHINE NO:  STP-2</t>
  </si>
  <si>
    <t>TIMER; TYPE: AH3-N, MEASUREMENT RANGE: 0-6; VENDOR:  ANLY ELECTRONICS CO. LTD</t>
  </si>
  <si>
    <t>CONTACTOR; TYPE: POWER, COIL VOLTAGE: 240 V AC, VOLTAGE RATING: 415 V AC, CURRENT RATING: 9 A, POWER RATING: 3 KW, ELECTRICAL POLE QUANTITY: 3P, CONTACT ARRANGEMENT: 1NC; MANUFACTURER PART NO:  3TF30,01-0X, VENDOR:  SIMENS</t>
  </si>
  <si>
    <t>BLOCK, TERMINAL; TYPE: SINGLE LEVEL FUSE, VOLTAGE RATING: 100-240 V AC, CURRENT RATING: 6.3 A, WIRE SIZE: 4 MM2, WIDTH: 8 MM, LENGTH: 57 MM, TERMINAL TYPE: SCREW, TERMINAL QUANTITY: 2, MOUNTING METHOD: DIN RAIL, MATERIAL: POLYMIDE; MANUFACTURER PART NO:  CF4UL110-240V, MANUFACTURER: CONNECTWELL, EQUIP/TAG MODEL: 10HFC26CP303</t>
  </si>
  <si>
    <t>TIMER; TYPE: DIGITAL PRESETABLE, MEASUREMENT RANGE: 99.9-999 MIN/SEC, VOLTAGE RATING: 230 V AC, CURRENT RATING: 5-10 A, CONTACT ARRANGEMENT: 2CO; MANUFACTURER PART NO: 18330782433, MANUFACTURER:  MULTISPAN, MODEL/MACHINE NO:  MDT2312, EQUIP/TAG MODEL:  3203-CI; FOR COAL HANDLING LAB</t>
  </si>
  <si>
    <t>RELAY; CONTROL; TYPE: NON LATCHING; COIL VOLTAGE: 24/30 V DC; CURRENT RATING: 5 A; CONTACT MATERIAL: SILVER; LINE VOLTAGE: 250 V AC; APPLICATION: COMPRESSOR HOUSE EOT; STANDARD: CSA; UL; MODEL/MACHINE NO:  G2R-2; MODEL/MACHINE NO:  0774W4</t>
  </si>
  <si>
    <t>RELAY, CONTROL; TYPE: CHANGE OVER, COIL VOLTAGE: 230 V AC, CONTACT ARRANGEMENT: 2NO, ELECTRICAL POLE QUANTITY: 2P, APPLICATION: HOT AIR OVEN; OEM PART NO:  22-032-000-0081, OEM:  CARBOLITE GERO LTD, EQUIP/TAG MODEL:  PF 120, EQUIP/TAG SERIAL: 21601287</t>
  </si>
  <si>
    <t>RELAY, SOLID STATE; CURRENT RATING: 15 A, LINE VOLTAGE: 230 V, ACTION: 4PDT; OEM PART NO:  603-251, VENDOR:  LECO CORP</t>
  </si>
  <si>
    <t>RELAY, SOLID STATE; TYPE: OPTICALLY ISOLATED, TIME DELAY: 10 MS, COIL VOLTAGE: 3-32 V DC, CURRENT RATING: 40 A, CONTACT ARRANGEMENT: 1NO, CONTACT RATING: 40 A, LINE VOLTAGE: 90-480 V AC, ACTION: SPDT, APPLICATION: COMMON AIR DRYING CHAMBER-4; MODEL/MACHINE NO:  SDA-3248-40</t>
  </si>
  <si>
    <t>CONNECTOR; TYPE: BUS, DIMENSIONS: DIA 54 X WD 15.8 X HT 39.5 MM; MANUFACTURER PART NO:  6ES7972 0BA42 0XA0, VENDOR:  SIEMENS LTD</t>
  </si>
  <si>
    <t>Meter</t>
  </si>
  <si>
    <r>
      <rPr>
        <b/>
        <u/>
        <sz val="10"/>
        <rFont val="Cambria"/>
        <family val="1"/>
        <scheme val="major"/>
      </rPr>
      <t>Terms &amp; Conditions</t>
    </r>
    <r>
      <rPr>
        <sz val="10"/>
        <rFont val="Cambria"/>
        <family val="1"/>
        <scheme val="major"/>
      </rPr>
      <t xml:space="preserve">
Offer Basis FOR  Plant basis.
Delivery Time: 10 to 12 weeks from date of receipt of confirm PO.(covid-19 may affect delivery schedule)
G/Warranty: 12 months from date of  DISPATCH - only for manufacturing defects
Payment Terms: 100% payment against PI prior to delivery.
Offer Validity: 31 days from date of offer.
Any statutory changes in rate of tax etc will be applicable as on date of dispatch.
Minimum Order Qty: N/A
Standard packaging will be done for supply of above items.
100% fitment &amp; interchangeability of offered products. In case of any discrepancy, we will replace items promptly for free of cost. </t>
    </r>
  </si>
  <si>
    <t>MEL391222400045</t>
  </si>
  <si>
    <t>SWITCH, SPEED; APPLICATION: POTENTIAL MAIN TURBINE SPEED PROBE; VENDOR: DONGFANG ELECTRIC INDIA PVT. LTD., MODEL/MACHINE NO:  CS-1; W/CALIBRATION, CURRENT MAIN TURBINE SPEED PROBE, CONTACT ARRANGEMENT MAIN TURBINE SPEED PROBE, RANGE MAIN TURBINE SPEED PROBE</t>
  </si>
  <si>
    <t>self</t>
  </si>
  <si>
    <t>Aliexpress</t>
  </si>
  <si>
    <t>45/20 pcs</t>
  </si>
  <si>
    <t>MIA312515100075</t>
  </si>
  <si>
    <t>MAC401416051518</t>
  </si>
  <si>
    <t>MAC401416052432</t>
  </si>
  <si>
    <t>MAC401416090159</t>
  </si>
  <si>
    <t>MAV521615230117</t>
  </si>
  <si>
    <t>MIA312515010047</t>
  </si>
  <si>
    <t>SOLENOID; COIL VOLTAGE: 24 V DC, STANDARD: OPERATING PRESSURE: 200 BAR; OEM PART NO:  BM32041A DIL2351494-2, VENDOR:  WANDFLUH SWISS</t>
  </si>
  <si>
    <t>VALVE, SOLENOID; PRESSURE RATING: 350 BAR, OPERATED: SPOOL, FLOW RATE: 32 L/MIN, TEMPERATURE RATING: -20 TO +70 DEG C, APPLICATION: HP-LP BYPASS SYSTEM; MANUFACTURER PART NO:  WDPFA06-ACB-S-32-D1K1, MANUFACTURER:  WANDFLUH, FOR TAG/EQUIP NO:  DRE 200 C</t>
  </si>
  <si>
    <t>VALVE, SOLENOID; TYPE: HYDRAULIC, PROPORTIONAL DIRECTIONAL CONTROL SPOOL, SIZE: NG10, PRESSURE RATING: 350 BAR, MEDIA: OIL, VOLTAGE RATING: 24 VDC/230 VAC, FLOW RATE: 80 L/MIN, PORT TYPE: (4)-PORT, APPLICATION: HPLP BYPASS, STANDARD: ISO 4401-05; MANUFACTURER PART NO:  AVPWS4D101-80-TI-G12, MANUFACTURER:  WANDFLUH, EQUIP/TAG MODEL:  20037290</t>
  </si>
  <si>
    <t>VALVE; CONTROL; TYPE: HYDRAULIC; MSV; OPERATED: SOLENOID; HYDRAULIC; MANUFACTURER PART NO:  4WE10D33/CG220N9K4/V; VENDOR:  REXROTH;TRIP AND TEST</t>
  </si>
  <si>
    <t>TRANSMITTER; TYPE: POSITION,  MEASUREMENT RANGE: 4-20 MA, OUTPUT: 4 -20 MA, POWER SUPPLY: 24 V DC;  REFERENCE NO:  RSG16LED+4K; DRAWING:  103225224233, POS: CCI</t>
  </si>
  <si>
    <t>ACTUATOR; ELECTRIC; STROKE LENGTH: 500 MM; POWER RATING: 1.1 KW; SPEED: 910 RPM; APPLICATION: FLAP GATE (SPEED: 40 MM/SEC); VENDOR: HEILONGJIIANG MUDANJIIANG LONGIIANG ELECTRICAL APPARATUS CO LTD; MODEL/MACHINE NO:  100050-40; EQUIP/TAG MODE: 901-6; OPERATING PRESSURE: 10000 N; W/THREE PHASE INDUCTION MOTOR</t>
  </si>
  <si>
    <t>MMM201016010057</t>
  </si>
  <si>
    <t>MGE261115100212</t>
  </si>
  <si>
    <t>SIEVE;
APPLICATION: ROLLER SCREEN;
EQUIP/TAG MODEL: BGSP -12XP6
ESTIMATED WEIGHT: 30 KG/PC</t>
  </si>
  <si>
    <t>SHAFT;
APPLICATION: ROLLER SCREEN
EQUIP/TAG MODEL: BGSP-12XP6
ESTIMATED WEIGHT: 100KG/PC</t>
  </si>
  <si>
    <r>
      <rPr>
        <b/>
        <u/>
        <sz val="10"/>
        <rFont val="Cambria"/>
        <family val="1"/>
        <scheme val="major"/>
      </rPr>
      <t>Terms &amp; Conditions</t>
    </r>
    <r>
      <rPr>
        <sz val="10"/>
        <rFont val="Cambria"/>
        <family val="1"/>
        <scheme val="major"/>
      </rPr>
      <t xml:space="preserve">
Offer Basis FOR  Plant basis.
Delivery Time: 12 to 14 weeks from date of receipt of confirm PO.(covid-19 may affect delivery schedule)
G/Warranty: 12 months from date of  DISPATCH - only for manufacturing defects
Payment Terms: 100% payment against PI prior to delivery.
Offer Validity: 31 days from date of offer.
Any statutory changes in rate of tax etc will be applicable as on date of dispatch.
Minimum Order Qty: N/A
Standard packaging will be done for supply of above items.
100% fitment &amp; interchangeability of offered products. In case of any discrepancy, we will replace items promptly for free of cost. </t>
    </r>
  </si>
  <si>
    <t>LIMIT SWITCH TYPE XCK-M121 TELEMECANIQUE</t>
  </si>
  <si>
    <t>LIMIT SWITCH LEVER TYPE ZCK-D21</t>
  </si>
  <si>
    <r>
      <rPr>
        <b/>
        <u/>
        <sz val="10"/>
        <rFont val="Cambria"/>
        <family val="1"/>
        <scheme val="major"/>
      </rPr>
      <t>Terms &amp; Conditions</t>
    </r>
    <r>
      <rPr>
        <sz val="10"/>
        <rFont val="Cambria"/>
        <family val="1"/>
        <scheme val="major"/>
      </rPr>
      <t xml:space="preserve">
Offer Basis FOR  Plant basis.
Delivery Time: 6 to 8 weeks from date of receipt of confirm PO.(covid-19 may affect delivery schedule)
G/Warranty: 12 months from date of  DISPATCH - only for manufacturing defects
Payment Terms: 100% payment against PI prior to delivery.
Offer Validity: 31 days from date of offer.
Any statutory changes in rate of tax etc will be applicable as on date of dispatch.
Minimum Order Qty: N/A
Standard packaging will be done for supply of above items.
100% fitment &amp; interchangeability of offered products. In case of any discrepancy, we will replace items promptly for free of cost. </t>
    </r>
  </si>
  <si>
    <r>
      <t xml:space="preserve">COIL, ELECTRICAL; TYPE: CLOSING,
VOLTAGE RATING: 11 KV, APPLICATION: HT
SWITCHGEAR; OEM PART NO:  ZN63A
-12/1250-40, OEM PART NO:  JSGS-2-TCS
-HVS-CD-0048, VENDOR:  TIANSHUI
CHANGCHENG SWITCHGEAR FACTORY;
DRAWING: 2008W2-048AX
</t>
    </r>
    <r>
      <rPr>
        <b/>
        <u/>
        <sz val="10"/>
        <rFont val="Calibri"/>
        <family val="2"/>
        <scheme val="minor"/>
      </rPr>
      <t>NOTE: Offered item as per pic provided by end user</t>
    </r>
  </si>
  <si>
    <r>
      <rPr>
        <b/>
        <u/>
        <sz val="10"/>
        <rFont val="Calibri"/>
        <family val="2"/>
        <scheme val="minor"/>
      </rPr>
      <t>Terms &amp; Conditions</t>
    </r>
    <r>
      <rPr>
        <sz val="10"/>
        <rFont val="Calibri"/>
        <family val="2"/>
        <scheme val="minor"/>
      </rPr>
      <t xml:space="preserve">
Offer Basis FOR  Plant basis.
Delivery Time: 10 to 12 weeks from date of receipt of confirm PO.(covid-19 may affect delivery schedule)
G/Warranty: 12 months from date of  DISPATCH - only for manufacturing defects
Payment Terms: 100% within 14 days of delivery.
Offer Validity: 31 days from date of offer.
Any statutory changes in rate of tax etc will be applicable as on date of dispatch.
Minimum Order Qty: N/A
Standard packaging will be done for supply of above items.
100% fitment &amp; interchangeability of offered products. In case of any discrepancy, we will replace items promptly for free of cost. </t>
    </r>
  </si>
  <si>
    <t>ACTUATOR; ELECTRIC; STROKE LENGTH: 500 MM; POWER RATING: 1.1 KW; SPEED: 910 RPM; APPLICATION: FLAP GATE (SPEED: 40 MM/SEC); VENDOR: HEILONGJIIANG MUDANJIIANG LONGIIANG ELECTRICAL APPARATUS CO LTD; MODEL/MACHINE NO:  100050-40; EQUIP/TAG MODE: 901-6; OPERATING PRESSURE: 10000 N; W/THREE PHASE INDUCTION MOTOR</t>
  </si>
  <si>
    <t>Present GST Rate 18% applicable against HSN 8481</t>
  </si>
  <si>
    <t>MLB411124120559</t>
  </si>
  <si>
    <t>GA PRESS;M:YN-63BFZ;0-6MPA,87MM,BCK,PNL</t>
  </si>
  <si>
    <t>MLB411124120560</t>
  </si>
  <si>
    <t>GA PRESS;M:YN-63BFZ;0-1MPA,87MM,BCK,PNL</t>
  </si>
  <si>
    <t>User</t>
  </si>
  <si>
    <t>Dept</t>
  </si>
  <si>
    <t>Plant</t>
  </si>
  <si>
    <t>PR Number</t>
  </si>
  <si>
    <t>Line Item</t>
  </si>
  <si>
    <t>Material Code.</t>
  </si>
  <si>
    <t>Short Text</t>
  </si>
  <si>
    <t>Long Text</t>
  </si>
  <si>
    <t>Qty</t>
  </si>
  <si>
    <t>With GST</t>
  </si>
  <si>
    <t>Total</t>
  </si>
  <si>
    <t>Delivery week</t>
  </si>
  <si>
    <t>Payment terms</t>
  </si>
  <si>
    <t>IELE</t>
  </si>
  <si>
    <t>COIL ELEC;PN:ZN63A-12/1250-40;PN:JSGS-2</t>
  </si>
  <si>
    <t>COIL, ELECTRICAL; TYPE: CLOSING, VOLTAGE RATING: 11 KV, APPLICATION: HT SWITCHGEAR; OEM PART NO:  ZN63A-12/1250-40, OEM PART NO:  JSGS-2-TCS-HVS-CD-0048, VENDOR:  TIANSHUI CHANGCHENG SWITCHGEAR FACTORY; DRAWING: 2008W2-048AX</t>
  </si>
  <si>
    <t>8 to 10</t>
  </si>
  <si>
    <t>100% alongwith Taxes etc within 14 days of delivery</t>
  </si>
  <si>
    <t>Offer Validity
 in Weeks</t>
  </si>
  <si>
    <t>Sl No</t>
  </si>
  <si>
    <t>ACTTR ELEC;M:100050-40; 901-6;500MM;1.1KW</t>
  </si>
  <si>
    <t>10 to 12</t>
  </si>
  <si>
    <t>-</t>
  </si>
  <si>
    <t>MHW311628000263</t>
  </si>
  <si>
    <t>Yoyocart</t>
  </si>
  <si>
    <t>SHOE; TYPE: DOUBLE COLLECTOR,APPLICATION: POT TENDING MACHINE; OEM PART NO:  HJD-500A-02, OEM:  NANNING KAIGANG CRANE CO. LTD, EQUIP/TAG MODEL:  20219649</t>
  </si>
  <si>
    <r>
      <rPr>
        <b/>
        <u/>
        <sz val="10"/>
        <rFont val="Calibri"/>
        <family val="2"/>
        <scheme val="minor"/>
      </rPr>
      <t>Terms &amp; Conditions</t>
    </r>
    <r>
      <rPr>
        <sz val="10"/>
        <rFont val="Calibri"/>
        <family val="2"/>
        <scheme val="minor"/>
      </rPr>
      <t xml:space="preserve">
Offer Basis FOR  Plant basis.
Delivery Time: 10 to 12 weeks from date of receipt of confirm PO.(covid-19 may affect delivery schedule)
G/Warranty: 12 months from date of  DISPATCH - only for manufacturing defects
Payment Terms: 100% payment against PI prior to delivery.
Offer Validity: 31 days from date of offer.
Any statutory changes in rate of tax etc will be applicable as on date of dispatch.
Minimum Order Qty: N/A
Standard packaging will be done for supply of above items.
100% fitment &amp; interchangeability of offered products. In case of any discrepancy, we will replace items promptly for free of cost. </t>
    </r>
  </si>
  <si>
    <t>Sub Total
INR</t>
  </si>
  <si>
    <t>Present GST Rate 18% applicable against HSN 8503</t>
  </si>
  <si>
    <t>Yanghou Best</t>
  </si>
  <si>
    <t>MIA312515010107</t>
  </si>
  <si>
    <t>ACTUATOR, ELECTRIC; TYPE: PART-TURN  MOTORISED, VOLTAGE RATING: 400 V AC,  CURRENT RATING: 0.6 A, POWER RATING:  180 W, TORQUE RATING: 1600 N M;  MODEL/MACHINE NO:  MA+RS160/F60HT,  SERIAL: 110112201</t>
  </si>
  <si>
    <t>Autork</t>
  </si>
  <si>
    <t>RODE</t>
  </si>
  <si>
    <t>ACTTR ELEC; M:MA+RS160/F60HT; PART-TURN</t>
  </si>
  <si>
    <t>ACTUATOR, ELECTRIC; TYPE: PART-TURN  MOTORISED, VOLTAGE RATING: 400 V AC,  CURRENT RATING: 0.6 A, POWER RATING:  180 W, TORQUE RATING: 1600 N M;  MODEL/MACHINE NO:  MA+RS160/F60HT,  SERIAL: 110112201</t>
  </si>
  <si>
    <t>1(immediate) +1 (after delivery of first order)</t>
  </si>
  <si>
    <t>We need serial Number as mentioned on guage</t>
  </si>
  <si>
    <t>Kindly provide a clear pic</t>
  </si>
  <si>
    <t>SE0140135</t>
  </si>
  <si>
    <t>SE0140136</t>
  </si>
  <si>
    <t>SE0140137</t>
  </si>
  <si>
    <t>SE0140139</t>
  </si>
  <si>
    <t>SE0140141</t>
  </si>
  <si>
    <t>FUSE, CARTRIDGE;
TYPE: HIGH VOLTAGE, HIGH RUPTURING CAPACITY, VOLTAGE, RATING: 12 KV, CURRENT RATING: 125 A, INTERRUPT CAPACITY: 50 KA; MANUFACTURER PART NO:  XRNM-12/125, OEM:  COOPER XIAN FUSEGEAR CO LTD.</t>
  </si>
  <si>
    <t>FUSE, CARTRIDGE
TYPE: HIGH VOLTAGE, HIGH RUPTURING CAPACITY, VOLTAGE RATING: 12 KV, CURRENT RATING: 100 A, INTERRUPT CAPACITY: 50 KA; MANUFACTURER PART NO:  XRNM-12/100, OEM:  COOPER XIAN FUSEGEAR CO LTD</t>
  </si>
  <si>
    <t>FUSE, CARTRIDGE
TYPE: HIGH VOLTAGE, HIGH RUPTURING CAPACITY, VOLTAGE RATING: 12 KV, CURRENT RATING: 50 A, INTERRUPT CAPACITY: 50 KA; MANUFACTURER
PART NO:  XRNM-12/50, OEM:  COOPER XIAN FUSEGEAR CO LTD, CHINA</t>
  </si>
  <si>
    <t>FUSE, CARTRIDGE
TYPE: HIGH VOLTAGE, HIGH RUPTURING CAPACITY, VOLTAGE RATING: 12 KV, CURRENT RATING: 63 A, INTERRUPT CAPACITY: 50 KA;
MANUFACTURER PART NO:  XRNT-12/63, OEM:  COOPER XIAN FUSEGEAR CO LTD,</t>
  </si>
  <si>
    <t>FUSE, CARTRIDGE; TYPE: HIGH VOLTAGE, HIGH RUPTURING CAPACITY, VOLTAGE RATING: 12 KV, CURRENT RATING: 80 A, INTERRUPT CAPACITY: 50 KA;
MANUFACTURER PART NO:  XRNM-12/80, OEM:  COOPER XIAN FUSEGEAR CO LTD</t>
  </si>
  <si>
    <r>
      <rPr>
        <b/>
        <u/>
        <sz val="10"/>
        <rFont val="Cambria"/>
        <family val="1"/>
        <scheme val="major"/>
      </rPr>
      <t>Terms &amp; Conditions</t>
    </r>
    <r>
      <rPr>
        <sz val="10"/>
        <rFont val="Cambria"/>
        <family val="1"/>
        <scheme val="major"/>
      </rPr>
      <t xml:space="preserve">
Offer Basis FOR Exworks Delhi basis.
Delivery Time: 10 to 12 weeks from date of receipt of confirm PO.(covid-19 may affect delivery schedule)
G/Warranty: 12 months from date of  DISPATCH - only for manufacturing defects
Payment Terms: 100% against PI along with order.
Offer Validity: 31 days from date of offer.
Any statutory changes in rate of tax etc will be applicable as on date of dispatch.
Minimum Order Qty: N/A
Standard packaging will be done for supply of above items.
100% fitment &amp; interchangeability of offered products. In case of any discrepancy, we will replace items promptly for free of cost. </t>
    </r>
  </si>
  <si>
    <t>Target</t>
  </si>
  <si>
    <t>MEL391222000187</t>
  </si>
  <si>
    <t xml:space="preserve">SWITCH ASSEMBLY; TYPE: EARTH, VOLTAGE  RATING: 72 KV, CURRENT RATING: 50 A, MATERIAL: PORCELIEN; </t>
  </si>
  <si>
    <t xml:space="preserve">
1. 
2. 
3. 
4. 
5.
6. 
7. 
8.
9. </t>
  </si>
  <si>
    <r>
      <rPr>
        <b/>
        <u/>
        <sz val="10"/>
        <rFont val="Calibri"/>
        <family val="2"/>
        <scheme val="minor"/>
      </rPr>
      <t>Terms &amp; Conditions</t>
    </r>
    <r>
      <rPr>
        <sz val="10"/>
        <rFont val="Calibri"/>
        <family val="2"/>
        <scheme val="minor"/>
      </rPr>
      <t xml:space="preserve">
Offer Basis FOR  Plant basis.
Delivery Time: 
By Ship: 10 to 12 weeks from date of receipt of confirm PO.(covid-19 may affect delivery schedule)
By Air: 4 to 6 weeks from date of receipt of confirm PO.(Freight will be charged as extra @ INR650 Per kg-Volumetric weight)
G/Warranty: 12 months from date of  DISPATCH - only for manufacturing defects
Payment Terms: 100% payment against PI prior to delivery.
Offer Validity: 31 days from date of offer.
Any statutory changes in rate of tax etc will be applicable as on date of dispatch.
Minimum Order Qty: N/A
Standard packaging will be done for supply of above items.
100% fitment &amp; interchangeability of offered products. In case of any discrepancy, we will replace items promptly for free of cost. </t>
    </r>
  </si>
  <si>
    <t>MGE261216000090</t>
  </si>
  <si>
    <t>MEL391222190147</t>
  </si>
  <si>
    <t>MEL391215520204</t>
  </si>
  <si>
    <t>ELECTRICAL CABLE,
TYPE: ARMOURED,VOLTAGE RATING: 2.5 KV,CURRENT RATING: 20 A,
CONDUCTOR QUANTITY: (5) CORE,CONDUCTOR DIAMETER: 2 MM,
CONDUCTOR MATERIAL: SOLID COPPER,INSULATION MATERIAL: CROSS-LINKED POLYETHYLENE,INSULATION COLOR(S): RED, BLACK, WHITE,OUTER DIAMETER: 20 MM,OUTER SHEATH MATERIAL: POLYVINYL CHLORIDE,OUTER SHEATH COLOR: BLACK
FOR HIGH VOLT IGNITOR; MODEL/MACHINE NO:  XDH-20L,
VENDOR:  XUZHOU COMBUSTION CONTROL RESEARCH INCTITUTE CO LTD
Length 3 M each</t>
  </si>
  <si>
    <t>MAGNETIC FLOAT  with switch (Pic Attached)
For SWITCH, LEVEL; TYPE: HPH METER, MEASUREMENT RANGE: 800 MM,
PRESSURE RANGE: 6.3 MPA, TEMPERATURE RATING: 450 DEG C,
LEVEL GUAGE PART NO:  UZ63M-800-1 OAF304,
VENDOR:  WEIFANG TONGDA INSTRUMENT CO LTD; MED DENSITY: 1KG/CM3-</t>
  </si>
  <si>
    <t>Tech Input Req</t>
  </si>
  <si>
    <t>MODL;INTELLIGENCE DATA COLLECTS MEASURE</t>
  </si>
  <si>
    <t>Present GST Rate 18% applicable against HSN 8402</t>
  </si>
  <si>
    <t>Present GST Rate 18% applicable against HSN 8504</t>
  </si>
  <si>
    <t>FAN; TYPE: DRY TRANSFORMER PCC COOLING,VOLTAGE: 250 V AC, POWER: 80 W, AIR FLOW CAPACITY: 1000 M3/H, APPLICATION: DRY TYPE TRANSFORMER PCC;VENDOR:SHANDONG LINQING YIHE TRANSFORMER CO LTD, MODEL/MACHINE NO:  GFDD 470-155</t>
  </si>
  <si>
    <t>NA</t>
  </si>
  <si>
    <t>FAN; TYPE: TRANSFORMER CUP COOLING
VENDOR:  POWER BUILD PVT LTD</t>
  </si>
  <si>
    <t xml:space="preserve"> MAC401016040138</t>
  </si>
  <si>
    <t>FAN; ELECTRIC; TYPE: EXHAUST INDUSTRIAL; SPEED: 1450 RPM; VOLTAGERATING: 415 V AC; POWER RATING: 0.55 KW; ENCLOSURE RATING: IP55; A IRFLOW CAPACITY: 8000 M3/H; STANDARD: IS: 2147-19810; IS:2148-1981 EX-D;MANUFACTURER PART NO:  2148-1981; VENDOR:  USHODAYA ENTERP RISES PVT.LTD.; PRESSURE: 150 PA</t>
  </si>
  <si>
    <t>MAC401016040119</t>
  </si>
  <si>
    <t>FAN, ELECTRIC; TYPE: ROOM EXHAUST,  DIAMETER: 155MM, SHAFT DIAMETER:7MM,  MATERIAL: PLASTIC, BLADE QUANTITY: 7;  ADD INFO: LQ, HUBDIAMETER: 86.5 MM,  HUB LENGTH: 39 MM, F/MOTOR</t>
  </si>
  <si>
    <t xml:space="preserve"> MAC401016040741</t>
  </si>
  <si>
    <t>FAN, ELECTRIC; TYPE: COOLING, DIAMETER:  4 ", SPEED: 50 RPM, VOLTAGERATING:  230 V AC, POWER RATING: 18 W; FOR PLC  PANEL</t>
  </si>
  <si>
    <t>MIA312515040017</t>
  </si>
  <si>
    <t>MGE261116010060</t>
  </si>
  <si>
    <t>MHW311630100062</t>
  </si>
  <si>
    <t>MIA321216130079</t>
  </si>
  <si>
    <t>MIA321216130052</t>
  </si>
  <si>
    <t>MAC401016040244</t>
  </si>
  <si>
    <t>MAC401016040390</t>
  </si>
  <si>
    <t>MAC401016040395</t>
  </si>
  <si>
    <t>MGE261011120380</t>
  </si>
  <si>
    <t>MAC401016041602</t>
  </si>
  <si>
    <t>ACTUATOR; PNEUMATIC; STROKE LENGTH: 341 MM; VENDOR:  AIRSTROKE; VENDOR:  FIRESTONE; REFERENCE NO:  WO1-358-7849; W/BLIND NUTS (SIZE: 3/4 IN NPT); BUMPER; TWO PLY BELLOWS</t>
  </si>
  <si>
    <t>GENERATOR; TYPE: PORTABLE, VOLTAGE: 230 V AC, CURRENT: 7.8 A, POWER: OUTPUT: 2.1 KVA, CAPACITY: 2 KVA, FREQUENCY: 50 HZ; MODEL/MACHINE NO:  EX2400S, VENDOR:  HONDA; PETROL START, PETROL RUN</t>
  </si>
  <si>
    <t>SPIDER; MANUFACTURER PART NO:  B104-01000-1; MANUFACTURER PART NO:  2760023-801; IND.NO.E01PB10-3797; CARD REVISION: R2D; CARD NUMBER: 0840-4092; MAKE: HUGGLANDS</t>
  </si>
  <si>
    <t>RESISTOR; TYPE: HIGH POWER BRAKE,RESISTANCE RATING: 150 OHM,POWER DISSIPATION RATING: 2.5 KW,TOLERANCE: (+/-) 5 PCT,VOLTAGE RATING: 680 V DC; OEM PART NO:  1-10-034-61, OEM:  ECL, REFERENCE NO:  EFFR003KL000009(01), MANUFACTURER:  METAL DEPLOYE</t>
  </si>
  <si>
    <t>RESISTOR; TYPE: BRAKE, RESISTANCE RATING: 40 OHM, POWER DISSIPATION RATING: 200 W</t>
  </si>
  <si>
    <t>COIL, ELECTRICAL; TYPE: CLOSING, VOLTAGE RATING: 11 KV, APPLICATION: HT SWITCHGEAR; OEM PART NO:  ZN63A-12/1250-40, OEM PART NO:  JSGS-2-TCS-HVS-CD-0048, VENDOR:  TIANSHUI CHANGCHENG SWITCHGEAR FACTORY; DRAWING: 2008W2-048AX</t>
  </si>
  <si>
    <t>FAN; ELECTRIC; VOLTAGE RATING: 16-30 V DC; POWER RATING: 10.4 W; CURRENT RATING: 430 A; MOUNTING METHOD: PANEL; VENDOR:  EBM-PAPST;MODEL/MACHINE NO:  4114 NHU; VENDOR:  EBM-PAPST; PTM</t>
  </si>
  <si>
    <t>FAN, ELECTRIC; TYPE: COOLING, DIAMETER: 200 MM, VOLTAGE RATING: 220-240 V AC; MANUFACTURER PART NO:  KA 2208 HA2, VENDOR:  KAKU CORP</t>
  </si>
  <si>
    <t>FAN, ELECTRIC; TYPE: COOLING, DIAMETER: 222 MM, VOLTAGE RATING: 220/240 V, CURRENT RATING: 0.22/0.29 A, AIR FLOW CAPACITY: 710 ft3/min; MODEL/MACHINE NO:  KA2208HA2-2, VENDOR:  KAKU CORP</t>
  </si>
  <si>
    <t>MOTOR, ELECTRIC; TYPE: SPRING CHARGE, VOLTAGE RATING: 220 V DC, POWER RATING: 100 HP, ENCLOSURE RATING: IP43, APPLICATION: VACUUM CIRCUIT BREAKER; VENDOR:  TIANSHUI CHANGCHENG SWITCHGEAR FACTORY, CHINA, EQUIP/TAG MODE: ZN63A(VS1)-12/T</t>
  </si>
  <si>
    <t>FAN; TYPE: AXIAL, VOLTAGE: 415 V,  CURRENT: 3.9 A, POWER: 0.42 KW, SPEED:  1385 NM, DIAMETER: 450 MM, AIR FLOW  CAPACITY: 4500 M3/H, BLADE QUANTITY: 5  NO, DIRECTION OF ROTATION: COUNTER  CLOCKWISE  ON ROTOR, APPLICATION: FTA  AC UNIT; MODEL/MACHINE NO:  S4D450 -GA14-01, VENDOR:  EBM-PAPST, EQUIP/TAG  MODEL:  FTA 12, MANUFACTURER:  ECL;  FTA WEISSHAAR A/C UNIT KTG-181</t>
  </si>
  <si>
    <t>regret</t>
  </si>
  <si>
    <t>MAC401016041181</t>
  </si>
  <si>
    <t>FAN, ELECTRIC; TYPE: DIRECT CURRENT BRUSHLESS, DIAMETER: 80 MM, SPEED: 4000 RPM, VOLTAGE RATING: 12 V DC, POWER RATING: 4.08 W, CURRENT RATING: 0.51 A, AIR FLOW CAPACITY: 1.32 M3/MIN; MODEL/MACHINE NO:  AFB0812SH</t>
  </si>
  <si>
    <t>MAC401416160488</t>
  </si>
  <si>
    <t>POSITIONER, VALVE; STANDARD: L.NR-8359; MODEL/MACHINE NO:  CE0344, VENDOR: YAMATAKE, MODEL/MACHINE NO:  R-SG 15AB, VENDOR:  SULZER, ARTICLE NUMBER:  195.480.208; SMART POSITIONER</t>
  </si>
  <si>
    <t>MEL391214310058</t>
  </si>
  <si>
    <t>GLAND, CABLE; TYPE: INSULATION, MATERIAL: POLYAMIDE, CABLE SIZE: 10 MM2, CONNECTION SIZE: 29 MM, CONNECTION TYPE: PG THREADED; MODEL/MACHINE NO:  PG 29; F/INCOMING CABLE</t>
  </si>
  <si>
    <t>MEL391214310134</t>
  </si>
  <si>
    <t>GLAND, CABLE; TYPE: VIBRATION PROTECTION, MATERIAL: POLYAMIDE, CABLE SIZE: 4 MM, CONNECTION SIZE: 18 ", CONNECTION TYPE: THREADED, COMMERCIAL SIZE: PG11</t>
  </si>
  <si>
    <t>MEL391214310135</t>
  </si>
  <si>
    <t>GLAND, CABLE; TYPE: CONNECTOR, MATERIAL: POLYAMIDE, CABLE SIZE: 10-14 MM2, CONNECTION SIZE: 22.5 MM, CONNECTION TYPE: NATIONAL PIPE THREAD, COMMERCIAL SIZE: PG16</t>
  </si>
  <si>
    <t>MEL391214310136</t>
  </si>
  <si>
    <t>GLAND, CABLE; TYPE: CONNECTOR, MATERIAL: POLYAMIDE, CABLE SIZE: 12-16 MM2, CONNECTION SIZE: 24 MM, CONNECTION TYPE: NATIONAL PIPE THREAD, COMMERCIAL SIZE: PG19</t>
  </si>
  <si>
    <t>MEL391214310137</t>
  </si>
  <si>
    <t>GLAND, CABLE; TYPE: CONNECTOR, MATERIAL: POLYAMIDE, CABLE SIZE: 18-25 MM2, CONNECTION SIZE: 37 MM, CONNECTION TYPE: NATIONAL PIPE THREAD, COMMERCIAL SIZE: PG30</t>
  </si>
  <si>
    <t>MEL391222100113</t>
  </si>
  <si>
    <t>SWITCH, PRESSURE; PRESSURE RANGE: 0.2-6.9 BAR, VOLTAGE RATING: 480 V AC, CURRENT RATING: 15 A, CONNECTION SIZE: 1/4 ", CONNECTION TYPE: FNPT, APPLICATION: OIL LINE; OEM PART NO: H100-702, VENDOR:  UNITED ELECTRIC CONTROLS COMPANY; MEDIA F/WHICH DESIGNED WETTED MATERIAL NI PLATED BRASS BUNA N</t>
  </si>
  <si>
    <t>MEL391222100116</t>
  </si>
  <si>
    <t>SWITCH, PRESSURE; PRESSURE RANGE: 1-20.7 BAR, VOLTAGE RATING: 480 V AC, CURRENT RATING: 15 A, CONNECTION SIZE: 1/2 ", CONNECTION TYPE: FNPT, APPLICATION: OIL LINE; OEM PART NO: H100-192, VENDOR:  UNITED ELECTRIC CONTROLS COMPANY; PROOF PRESSURE: 172.4 BAR</t>
  </si>
  <si>
    <t>MEL391222100667</t>
  </si>
  <si>
    <t>SWITCH; TYPE: PRESSURE CONTROL, VOLTAGE RATING: 24 V DC; MANUFACTURER PART NO:  HED8OA-2X/350K14S, MANUFACTURER PART NO:  HED8OA-2X/350K14S, VENDOR: REXROTH; PRESSURE RATING: 350 BAR</t>
  </si>
  <si>
    <t>MEL391222101417</t>
  </si>
  <si>
    <t>SWITCH, PRESSURE; TYPE: INDUSTRIAL, PRESSURE RANGE: 3-100 PSI, VOLTAGE RATING: 250 V AC, CURRENT RATING: 11 A, ACTION: SPDT, CONTACT ARRANGEMENT: 7NC, CONNECTION SIZE: 1/2 FNPT, APPLICATION: WRM; MANUFACTURER PART NO:  PSW-236, MANUFACTURER:  OMEGA, REFERENCE NO:  200 SERIES DIV-2, MANUFACTURER:  OMEGA; SET PRESSURE:20.7/689.5 KILOPASCAL; POTENTIAL:250 VOLT ALTERNATING CURRENT</t>
  </si>
  <si>
    <t>MEL391222170347</t>
  </si>
  <si>
    <t>SWITCH; TYPE: ROTARY, APPLICATION: REMOTE, PTM, ON/OFF BLACK, AXIS (DIA: 3.0 MM); MANUFACTURER PART NO: 63102005, VENDOR:  TOSHIKCON INDUSTRIES, MODEL/MACHINE NO:  12ST; DRAWING: CD-78; ADJUSTABLE SWITCH DISTANCE 30°/ ZB/WD + 63102002-KNOB</t>
  </si>
  <si>
    <t>MEL391222190696</t>
  </si>
  <si>
    <t>SWITCH, LEVEL; TYPE: FULL SIZE SWITCH, VOLTAGE RATING: 240 VAC/DC, CURRENT RATING: 0.5 A, CONTACT RATING: 60 W, PRESSURE RANGE: MAX 200 PSI, TEMPERATURE RATING: 200 DEG C, CONTACT ARRANGEMENT: SPST, ACTUATION METHOD: FLOAT; OEM PART NO:  M5600-3PKG, OEM: MADISON</t>
  </si>
  <si>
    <t>MEL391222210447</t>
  </si>
  <si>
    <t>SWITCH; TYPE: MICRO; VOLTAGE RATING: 16-22 V DC; CURRENT RATING: 600/700 MA; MOUNTING METHOD: BACK BOX; APPLICATION: SURFACE OR SINGLE GANG SOCKET BOX; SEMIFLUSH FIXING; ZP LOOP - 2 CORE PLUS SCREEN; MANUFACTURER PART NO:  ZITON-ZP785-3; VENDOR:  GE; REFERENCE NO:  Z-CPSB-1</t>
  </si>
  <si>
    <t>MEL391222300017</t>
  </si>
  <si>
    <t>SWITCH, PROXIMITY; TYPE: INDUCTIVE, VOLTAGE RATING: 10-30 V DC, CURRENT RATING: 200 MA, SENSING RANGE: 12 MM, ACTION: NPN, CONTACT ARRANGEMENT: 1NO, MOUNTING METHOD: NON FLUSH; MANUFACTURER PART NO:  IPS D3 OS NO, VENDOR:  PROTOCONTROL</t>
  </si>
  <si>
    <t>MEL391222300044</t>
  </si>
  <si>
    <t>SWITCH, PROXIMITY; VOLTAGE RATING: 20-250 VAC/DC, CURRENT RATING: 500 MA, SENSING RANGE: 2 MM, CONTACT ARRANGEMENT: 1NO, APPLICATION: STROKE MASTER; MANUFACTURER PART NO:  BES 516-200-S2/1.250"-S5, VENDOR:  BALLUFF, MODEL/MACHINE NO:  BHS0009</t>
  </si>
  <si>
    <t>MEL391222380046</t>
  </si>
  <si>
    <t>SWITCH, PHOTOELECTRIC; TYPE: DIFFUSE;P/N:XUB5BPBNM12, SENSING RANGE: 0.8 M, VOLTAGE RATING: 12-24 V DC, CURRENT RATING: 100 MA, CONTACT RATING: 100 MA 12-24 V DC V AC, ACTION: PNP, CONTACT ARRANGEMENT: 1NC</t>
  </si>
  <si>
    <t>MFS461716060062</t>
  </si>
  <si>
    <t>ALARM; TYPE: ADDRESSABLE ROOM,VOLTAGE: LOOP: 19.5-0.5 V, EXTERNAL SUPPLY: 18-30 VDC,CURRENT: QUIESCENT: 500 UA, ACTIVE: 6 MA,ENCLOSURE RATING: IP50,STANDARD: EN54 (PART 3); MANUFACTURER PART NO:  ZITON-ZP755R-2R, MANUFACTURER:  GE, EQUIP/TAG MODEL: 20221537; FOR FIRE DETECTION SYSTEM</t>
  </si>
  <si>
    <t>MFS461915020025</t>
  </si>
  <si>
    <t>DETECTOR, FIRE PROTECTION; TYPE: ADDRESSABLE, OPTICAL SMOKE, TEMPERATURE RANGE: -10 TO 50 DEG C, MOUNTING METHOD: PLUGS INTO SURFACE BASE; OEM PART NO:  ZP732-2, VENDOR: ZITON</t>
  </si>
  <si>
    <t>MFS461915050028</t>
  </si>
  <si>
    <t>STATION, FIRE ALARM; TYPE: CALL POINT, VOLTAGE: 16-22 V DC, APPLICATION: FIRE DETECTION ALARM; MANUFACTURER PART NO:  ZITON-ZP785-3, MANUFACTURER:  GUNNEBO INDIA LTD, EQUIP/TAG MODEL:  20221537</t>
  </si>
  <si>
    <t>MHW311628140773</t>
  </si>
  <si>
    <t>PIN; DIAMETER: 50 MM, LENGTH: 150 MM, APPLICATION: CRANE (CAPACITY: 3 T), RODDING, CROSS TRAVEL, PLAIN WHEEL; VENDOR:  PETRON MECHANICAL INDUSTRIES; 3 STEEP WITH THREAD LENGTH: 40 MM</t>
  </si>
  <si>
    <t>MIA312515040035</t>
  </si>
  <si>
    <t>ACTUATOR; PNEUMATIC; STROKE LENGTH: 13 MM; APPLICATION: SPRING RETURN VALVE (CF3M; 0.516); MANUFACTURER PART NO:  SS:63TSW12T; MODEL/MACHINE NO:  133SR; VENDOR:  SWAGELOK; OPERATING PRESSURE COS: 13MM</t>
  </si>
  <si>
    <t>MIA321016450007</t>
  </si>
  <si>
    <t>SWITCH, LIMIT; TYPE: PRECISION HEAVY DUTY, VOLTAGE RATING: 230 V AC, CURRENT RATING: 1.5 A, ACTION: LIMIT SWITCH, CONTACT ARRANGEMENT: 2NO-2NC, ACTUATOR: ON-OFF LIMIT SWITCH; MANUFACTURER PART NO:  PSSIL2R, MANUFACTURER:  BCH ELECTRIC LIMITED, INDIA, TAG/EQUIP NO:  08_4309; CATALOGUE:NA, POS: PSSIL2R, MANUFACTURER: BCH ELECTRIC LIMITED, INDIA</t>
  </si>
  <si>
    <t>MRW311517050003</t>
  </si>
  <si>
    <t>CABLE; PUSH PULL; APPLICATION: ASSEMBLY PULL CABLE ACCELERATOR; OEM PART NO:  270530100112; VENDOR:  TATA MOTORS LTD; DRAWING: UNKNOWN; POS: 709; TANKER &amp; CHASIS NO: 386524CRZ81010056</t>
  </si>
  <si>
    <t>MTP251717080002</t>
  </si>
  <si>
    <t>DISC; BRAKE; TYPE: ELECTROMAGNETIC; SPRING LOADED; APPLICATION: MOTOR (VOLTAGE: 415 VAC AT 50 HZ; PHASE QTY: 3); VENDOR:  PETHE ENGINEERING PVT LTD; MODEL/MACHINE NO:  DAT100X; MAGNET ARMATURE AIR GAP: 0.5 TO 1 MM</t>
  </si>
  <si>
    <t>MTP251717080003</t>
  </si>
  <si>
    <t>DISC, BRAKE; TYPE: ELECTROMAGNETIC AC, FAIL SAFE, DIMENSIONS: OD 160 MM, SPECIAL FEATURES: SPRING LOADED, APPLICATION: CURRENT TRANSFORMER MOTOR, 3TPETRON CRANE; MODEL/MACHINE NO: DAT-150H</t>
  </si>
  <si>
    <t>MTP251717080068</t>
  </si>
  <si>
    <t>DISC, BRAKE; TYPE: ELECTROMAGNETIC, SPRING LOADED, DIMENSIONS: HUB: SQ 1-1/4 ", MATERIAL: MILD STEEL, MATERIAL GRADE: B, MATERIAL SPECIFICATION: IS 2062, APPLICATION: CROSS TRAVEL MOTOR, CRANE (CAPACITY: 3 T); MODEL/MACHINE NO:  DAT 140; DRAWING: FSDBSD/STD./2007/1004, MANUFACTURER: PETHE ENGINEERING PVT LTD; AIR GAP: 0.5 MM, TORQUE: 0.6 KGM, POWER SUPPLY: 415 V 2 PH, COMPRISING: MOUNTING PLATE, BRAKE PLATE, DUMMY PLATE, I-STACK PLATE, COIL PLATE, COIL</t>
  </si>
  <si>
    <t>Ashok</t>
  </si>
  <si>
    <t>Packing, forwarding &amp; Freight</t>
  </si>
  <si>
    <t>BFP motor – 3700KW, 6.6KV motor (Frame YKOS3700-2, Make: Shanghai Electric Machinery Co Ltd)</t>
  </si>
  <si>
    <t>Mill motor – 560KW, 6.6KV motor (Frame YMKQ600-6-6.6, Make: Beijing Power Equipment Group)</t>
  </si>
  <si>
    <t>Service water pump – 400KW, 6.6KV motor (Frame YKK450-6, Make: Xiangtan Electric Manufacturing works)</t>
  </si>
  <si>
    <t>Conveyor 2AB motor – 355KW, 6.6KV motor (Frame YKK400-4, Make: Shenyang Electric Machine Co Ltd)</t>
  </si>
  <si>
    <t>Unit Rate
USD</t>
  </si>
  <si>
    <t>Sub Total
USD</t>
  </si>
  <si>
    <t>Grand Total on CIF Kolkata Basis-USD</t>
  </si>
  <si>
    <r>
      <rPr>
        <b/>
        <u/>
        <sz val="10"/>
        <rFont val="Calibri"/>
        <family val="2"/>
        <scheme val="minor"/>
      </rPr>
      <t>Terms &amp; Conditions</t>
    </r>
    <r>
      <rPr>
        <sz val="10"/>
        <rFont val="Calibri"/>
        <family val="2"/>
        <scheme val="minor"/>
      </rPr>
      <t xml:space="preserve">
Offer Basis CIF Kolkata  Plant basis.
Delivery Time:By Ship: 24 to 32 weeks from date of receipt of confirm PO.(covid-19 may affect delivery schedule)
G/Warranty: 12 months from date of  DISPATCH - only for manufacturing defects
Payment Terms: 100% payment against PI prior to delivery.
Offer Validity: 31 days from date of offer.
Any statutory changes in rate of tax etc will be applicable as on date of dispatch.
Minimum Order Qty: N/A
Standard packaging will be done for supply of above items.
100% fitment &amp; interchangeability of offered products. In case of any discrepancy, we will replace items promptly for free of cost. </t>
    </r>
  </si>
  <si>
    <t>MEL391215290787</t>
  </si>
  <si>
    <t>MRW241016270016</t>
  </si>
  <si>
    <t>MEL391216011175</t>
  </si>
  <si>
    <t>MEL391216150288</t>
  </si>
  <si>
    <t>MEL391215290381</t>
  </si>
  <si>
    <t>MEL391215000065</t>
  </si>
  <si>
    <t>MEL391210100133</t>
  </si>
  <si>
    <t>MEL391223310277</t>
  </si>
  <si>
    <t>MEL391210100132</t>
  </si>
  <si>
    <t>MEL391223310379</t>
  </si>
  <si>
    <t>MEL391210330207</t>
  </si>
  <si>
    <t>MEL391216150108</t>
  </si>
  <si>
    <t>MEL391216150244</t>
  </si>
  <si>
    <t>MEL391216150243</t>
  </si>
  <si>
    <t>MEL391216150245</t>
  </si>
  <si>
    <t>MEL391216150242</t>
  </si>
  <si>
    <t>MEL391223310296</t>
  </si>
  <si>
    <t>MAC401016040606</t>
  </si>
  <si>
    <t>MEL391216000112</t>
  </si>
  <si>
    <t>MEL391210100061</t>
  </si>
  <si>
    <t>MEL391223310378</t>
  </si>
  <si>
    <t>MEL391223312217</t>
  </si>
  <si>
    <t>CONTACTOR; TYPE: VACUUM; COIL VOLTAGE: 220 V DC; VOLTAGE RATING: 12 KV; CURRENT RATING: 400 A; ELECTRICAL POLE QUANTITY: 3P; CONTACT ARRANGEMENT: 1NO-1NC; COMPLETE CUBICLE W/HRC FUSE AND SLIDING MECHANISM; MAXIMUM CURRENT RATING: 3 KA; LINE VOLTAGE: 12 KV</t>
  </si>
  <si>
    <t>TROLLEY; TYPE: TROLLEY CHASSIS, PART NO. CKDK-12, FOR CIRCUIT BREAKER MODEL ZN63A(VS1); OEM PART NO:  CHASSIS, PART NO. CKDK-12, OEM:  TIANSHUI CHANGCHENG SWITCHGEAR FACTORY</t>
  </si>
  <si>
    <t>BREAKER, CIRCUIT; TYPE: HIGH VOLTAGE VACUUM, CURRENT RATING: 1250 A, VOLTAGE RATING: 12 KV, ELECTRICAL POLE QUANTITY: 3P, INTERRUPT CAPACITY: 40 KA; MANUFACTURER PART NO:  ZN63A(VS1)-12, VENDOR:  TIANSHUI CHANGCHENG SWITCHGEAR FACTORY, CHINA</t>
  </si>
  <si>
    <t>CHASSIS, ELECTRICAL-ELECTRONIC EQUIPMENT; TYPE: CHASSIS, PART NO. CKDP-HJ, FOR CIRCUIT BREAKER MODEL ZN63A(VS1) -VCB; OEM PART NO:  CHASSIS, PART NO. CKDP-HJ, OEM:  TIANSHUI CHANGCHENG SWITCHGEAR FACTORY</t>
  </si>
  <si>
    <t>CONTACTOR; COIL VOLTAGE: 220 V DC, CURRENT RATING: 400 A, ELECTRICAL POLE QUANTITY: 2P, CONTACT ARRANGEMENT: 2NO-2NC; OEM PART NO:  CZ0400/2Y/GD1404814</t>
  </si>
  <si>
    <t>COIL; TYPE: CLOSING, VOLTAGE: 11 KV; OEM PART NO:  ZN63A-12/3150-40, OEM PART NO:  JSGS-2-TCS-HVS-CD-0048, VENDOR:  TIANSHUI CHANGCHENG SWITCHGEAR FACTORY; DRAWING: 2008W2-048AX; F/HT SWITCHGEAR</t>
  </si>
  <si>
    <t>COIL, ELECTRICAL; TYPE: TRIPPING, VOLTAGE RATING: 11 KV, APPLICATION: HT SWITCHGEAR; VENDOR:  TIANSHUI CHANGCHENG SWITCHGEAR FACTORY, MODEL/MACHINE NO:  ZN63A-12/3150-40; DRAWING: .2008W2-048AX, JSGS-2-TCS-HVS-CD-0048</t>
  </si>
  <si>
    <t>RELAY, CONTROL; TYPE: INTELLIGENCE, COIL VOLTAGE: 110-220 V AC, CURRENT RATING: 5 A, APPLICATION: COMMUNICATION-MODE BUS; OEM PART NO: 503HA-5-V</t>
  </si>
  <si>
    <t>COIL, ELECTRICAL; TYPE: TRIPPING, VOLTAGE RATING: 11 KV, APPLICATION: HT SWITCHGEAR; MANUFACTURER PART NO: ZN63A-12/1250-40, VENDOR:  TIANSHUI CHANGCHENG SWITCHGEAR FACTORY; DRAWING: 2008W2-048AX JSGS-2-TCS-HVS-CD-0048</t>
  </si>
  <si>
    <t>RELAY, CONTROL; TYPE: AUXILIARY, COIL VOLTAGE: 220 V DC, CURRENT RATING: 5 A, CONTACT ARRANGEMENT: 2NO-2NC; OEM PART NO:  JZY-204B</t>
  </si>
  <si>
    <t>TRANSFORMER; POTENTIAL; TYPE: RESIN CAST; APPARENT POWER: 50/100/200 VA; COOLING TYPE: AIR COOLED; ACCURACY: CL 0.2/3P/3P PCT; PHASE QUANTITY: 1PH; MANUFACTURER PART NO:  JDZX16-20Q; VENDOR:  BEIJING POWER EQUIPMENT GROUP CO LTD; RATED VOLTAGE RATIO: (22000/SQRT 3)/(110/SQRT 3)/(110 /SQRT 3)/(110/3); F/METERING; PROTECTION</t>
  </si>
  <si>
    <t>BREAKER, CIRCUIT; TYPE: AIR, CURRENT RATING: 400 A, VOLTAGE RATING: 415 V AC, ELECTRICAL POLE QUANTITY: 3, INTERRUPT CAPACITY: 50 KV AC; SERIAL: 070421059, MNFR: KFINE; AIR CIRCUIT BREAKER 400A, MAKING COIL VOLTAGE: 220 VDC, BREAKING COIL VOLTAGE: 220 VDC, CHARGING MOTOR POTENTIAL: 220 VDC CURRENT: 400 A, LINE POTENTIAL: 415 V, FREQUENCY: 50 HZ ELECTRICAL POLE QUANTITY: 3, AUXILIARY CONTACTS:8NO+8NC, PROTECTION RELEASE SUPPLY: 24V DC, ICS=ICU=ICW=50KA ICS=ICU=ICW=50KA ; ICW=50KA FOR 1S), MAKE - KFINE, KFW2-1600-400A, INTELLIGENT TRIP - UNIT 4 (ENGLISH VERSION), SERIAL NO.070421059 TEST REPORT REQUIRED</t>
  </si>
  <si>
    <t>BREAKER, CIRCUIT; TYPE: AIR, CURRENT RATING: 630 A, VOLTAGE RATING: 415 V, ELECTRICAL POLE QUANTITY: 4P, INTERRUPT CAPACITY: 65 KA; MODEL/MACHINE NO:  KFW2-1600/630A, SERIAL NO:  070722000; TRIP VOLTAGE: 24 VDC, SERVICE BREAKING CAPACITY: 50 KA, SHORT CIRCUIT WITHSTAND CAPACITY (ICW): 42 KA, SHUNT RELEASE VOLTAGE: 220 VDC, CLOSING COIL VOLTAGE: 220 VDC, CHARGE MOTOR VOLTAGE: 220 VDC, AUXILLARY SWITCH (6 NO + 6 NC), WITH ENCLOSURE</t>
  </si>
  <si>
    <t>BREAKER, CIRCUIT; TYPE: AIR, CURRENT RATING: 400 A, VOLTAGE RATING: 415 V, ELECTRICAL POLE QUANTITY: 4P, INTERRUPT CAPACITY: 65 KA; MODEL/MACHINE NO:  KFW2-1600/400A; UNIT 4 TYPE TRIP UNIT VOLTAGE: 24 VDC, SERVICE BREAKING CAPACITY: 50 KA, SHORT CIRCUIT WITHSTAND CAPACITY (ICW): 42 KA, SHUNT RELEASE VOLTAGE: 220 VDC, CLOSING COIL VOLTAGE: 220 VDC, CHARGE MOTOR VOLTAGE: 220 VDC, AUXILLARY SWITCH (6 NO + 6 NC), WITH ENCLOSURE</t>
  </si>
  <si>
    <t>BREAKER, CIRCUIT; TYPE: AIR, CURRENT RATING: 800 A, VOLTAGE RATING: 415 V, ELECTRICAL POLE QUANTITY: 4P, INTERRUPT CAPACITY: 65 KA; MODEL/MACHINE NO:  KFW2-1600/800A; UNIT 4 TYPE TRIP UNIT VOLTAGE: 24 VDC, SERVICE BREAKING CAPACITY: 50 KA, SHORT CIRCUIT WITHSTAND CAPACITY (ICW): 42 KA, SHUNT RELEASE VOLTAGE: 220 VDC, CLOSING COIL VOLTAGE: 220 VDC, CHARGE MOTOR VOLTAGE: 220 VDC, AUXILLARY SWITCH (6 NO + 6 NC), WITH ENCLOSURE</t>
  </si>
  <si>
    <t>BREAKER, CIRCUIT; TYPE: AIR, CURRENT RATING: 1250 A, VOLTAGE RATING: 415 V, ELECTRICAL POLE QUANTITY: 4P, INTERRUPT CAPACITY: 65 KA; MODEL/MACHINE NO:  KFW2-1600/1250A; UNIT 4 TYPE TRIP UNIT VOLTAGE: 24 VDC, SERVICE BREAKING CAPACITY: 50 KA, SHORT CIRCUIT WITHSTAND CAPACITY (ICW): 42 KA, SHUNT RELEASE VOLTAGE: 220 VDC,   CLOSING COIL VOLTAGE: 220 VDC, CHARGE MOTOR VOLTAGE: 220 VDC, AUXILLARY SWITCH (6 NO + 6 NC), WITH ENCLOSURE</t>
  </si>
  <si>
    <t>RELAY; CONTROL; TYPE: INTELLIGENCE; COIL VOLTAGE: 110-220 V DC; CURRENT RATING: 25 A; CONTACT RATING: 10; VENDOR:  SUZHOU WANLONG GROUP CO LTD; MODEL/MACHINE NO:  503-HA-25-V; VENDOR:  SUZHOU WANLONG GROUP CO LTD; START TYPE: DIRECT START UP; TRIP CLASS: 10A; MODBUS PROTOCOL</t>
  </si>
  <si>
    <t>RELAY; CONTROL; TYPE: INTELLIGENCE; COIL VOLTAGE: 110-220 V DC; CURRENT RATING: 250 A; VENDOR:  SUZHOU WANLONG GROUP CO LTD; MODEL/MACHINE NO:  ST503-HA-250-V; DO: 110V/ 220 VDC; AUX POWER: 110V/220 VDC+ 220 VAC; START TYPE: DIRECT START UP; TRIP CLASS: 10A; MODBUS PROTOCOL</t>
  </si>
  <si>
    <t>RELAY; CONTROL; TYPE: INTELLIGENCE; COIL VOLTAGE: 240/110-220 VAC/DC; CURRENT RATING: 100 A; APPLICATION: INTELLIGENCE RELAY; VENDOR:  SUZHOU WANLONG GROUP CO LTD; MODEL/MACHINE NO:  503-HA-100-V; DIRECT START UP; TRIP CLASS: 10A; MODBUS PROTOCOL; COMMUNICATION-MODE BUS</t>
  </si>
  <si>
    <t>FAN, ELECTRIC; TYPE: TRANSVERSE FLOW, DIAMETER: 124 MM, SPEED: 1500 RPM, VOLTAGE RATING: 250 V, POWER RATING: 90 W, INSULATION CLASS: F, AIR FLOW CAPACITY: 1500 M3/H</t>
  </si>
  <si>
    <t>MECHANISM; TYPE: RACK IN/OUT, APPLICATION: AIR CIRCUIT BREAKER; MANUFACTURER PART NO:  KF20190214003, VENDOR:  KFINE</t>
  </si>
  <si>
    <t>COIL, ELECTRICAL; VOLTAGE RATING: 6.6 KV, APPLICATION: SWITCHGEAR; REFERENCE NO:  ZO7F3833</t>
  </si>
  <si>
    <t>RELAY; CONTROL; TYPE: AUXILIARY; COIL VOLTAGE: 220 V DC; CURRENT RATING: 6 A; CONTACT ARRANGEMENT: 2NO-2NC; OEM PART NO:  JZS-7/244B; W/TIMER (MAX DURATION: 3 SEC)</t>
  </si>
  <si>
    <t>RELAY, CONTROL; TYPE: AUTOMATIC CHANGE OVER, COIL VOLTAGE: 220V +/-20% OR 110V +/-20% V DC, CURRENT RATING: 5 A, CONTACT ARRANGEMENT: 6NO, CONTACT RATING: 5 A; MODEL/MACHINE NO:  DCAP-3232-5X0X2-04, VENDOR:  WISCOM SYSTEM CO LTD, SERIAL NO:  07042504966, MANUFACTURER:  WISCOM SYSTEM CO LTD, FOR TAG/EQUIP NO:  20150952, MANUFACTURER:  WISCOM SYSTEM CO LTD; AFMR FOR UNIT PCC, EMERGENCY MCC, STATION 6.6KV, CHP PCC, CT PCC, DM PCC, AHP PCC, MWP</t>
  </si>
  <si>
    <t>MEL391210100114</t>
  </si>
  <si>
    <t>COIL, ELECTRICAL; APPLICATION: AIR CIRCUIT BREAKER CLOSE/TRIP; MODEL/MACHINE NO:  KFW2-1600</t>
  </si>
  <si>
    <t>MGE261115243075</t>
  </si>
  <si>
    <t>GEARBOX; TYPE: REDUCER, OUTPUT POWER RATING: 1.5 KW, APPLICATION: LIFTING DOOR COOLING CHAMBER; MANUFACTURER PART NO:  XWED74-289-1.5KW, MANUFACTURER:  JIANGSU TAILONG DECELERATOR MACHINARY CO. LTD, TAG/EQUIP NO:  20246007</t>
  </si>
  <si>
    <t>each</t>
  </si>
  <si>
    <t>MGE261115243074</t>
  </si>
  <si>
    <t>GEARBOX; TYPE: REDUCER, APPLICATION: LIFTING DOOR OF HOMO FURNACE; MANUFACTURER PART NO:  T898-E4-4P-230.48-M4-I-A-B, MANUFACTURER:  ZHEJIANG TONGLI TRANSMISSION TECHNOLOGY CO., LTD, TAG/EQUIP NO:  20247034</t>
  </si>
  <si>
    <t>MGE261115240415</t>
  </si>
  <si>
    <t>"GEARBOX; TYPE: WORM; RATIO: 40:1; INPUT SPEED: 1775 RPM; INPUT POWER RATING: 3 HP; SHAFT DIAMETER: 1.6875 ""; APPLICATION: WRM; MODEL/MACHINE NO:  FMSHV35-W9A; W/HOLLOW BORE OUTPUT; 184TC NEMA MOTOR ADAPTER AND COUPLING; STANDARD BACKLASH; SECOND WORM EXTENSION IS CUT OFF AT FAN COVER; PICH ROLL AREA; SECOND WORMEXTENSION IS CUT OFF AT FAN COVER; SECOND WORMEXTENSION IS CUT OFF AT FAN COVER"</t>
  </si>
  <si>
    <t>Number</t>
  </si>
  <si>
    <t>MAC401736000062</t>
  </si>
  <si>
    <t>REDUCER; VENDOR:  NANJING HOISTING MACHINERY GENERAL WORKS CO LTD, MANUFACTURER PART NO:  BCD1, VENDOR: CHALIECO, CHINA; F/ATD HOIST LIFTING (TYPE: EXPLOSION PROOF, CAPACITY: 2 T, SPEED: 8 M/MIN, EXPLOSION PROOF MARKS: DIIBT4, WORKING RATE: M5, QUALIFICATION NO: OMEXU4678),PRODUCTION STANDARD CODE: 813201, EX-WORKS NO: 763</t>
  </si>
  <si>
    <t>MMM201016020024</t>
  </si>
  <si>
    <t>FEEDER; TYPE: ROTARY, DIMENSIONS: DIA 300 MM2; MANUFACTURER PART NO:  YVF2-80112-4, VENDOR:  CHALIECO, CHINA</t>
  </si>
  <si>
    <t>MMM201016170698</t>
  </si>
  <si>
    <t>MOTOR, GEARED; TYPE: GEARED MOTOR, VOLTAGE RATING: 415 V AC, CURRENT RATING: 8.1 A, POWER RATING: 4 KW, POWER SUPPLY: 415 V AC, PHASE QUANTITY: 3, RATIO: 1:15, OUTPUT SPEED: 1410 RPM, FRAME: 112M, MOUNTING METHOD: FLANGE B4, INSULATION CLASS: F, ELECTRICAL POLE QUANTITY: 4P, ENCLOSURE RATING: IP 54, SERVICE FACTOR: S1, APPLICATION: WALKING BEAM UT M/C; MANUFACTURER PART NO:  FRT-G110, MANUFACTURER:  MGM CO., MANUFACTURER PART NO:  BA112MB4, MANUFACTURER:  MGM CO.; WITH BRAKE(MAX: 80NM)</t>
  </si>
  <si>
    <t>MMM201016170699</t>
  </si>
  <si>
    <t>MOTOR, GEARED; TYPE: GEARED MOTOR, VOLTAGE RATING: 415 V AC, CURRENT RATING: 31 A, POWER RATING: 9.2 KW, POWER SUPPLY: 415 V AC, PHASE QUANTITY: 3, RATIO: 1:15, OUTPUT SPEED: 2890 RPM, FRAME: 132M, MOUNTING METHOD: FLANGE B4, INSULATION CLASS: F, ELECTRICAL POLE QUANTITY: 2P, SERVICE FACTOR: S1, APPLICATION: JOB INSPECTION ROLLER; MANUFACTURER PART NO:  FRS130, MANUFACTURER:  MGM CO., MANUFACTURER PART NO:  BA132MA2, MANUFACTURER:  MGM CO.; WITH BRAKE (MAX.150NM)</t>
  </si>
  <si>
    <t>MMM201016170700</t>
  </si>
  <si>
    <t>MOTOR, GEARED; TYPE: GEARED MOTOR, VOLTAGE RATING: 415 V AC, CURRENT RATING: 15 A, POWER RATING: 7.5 KW, POWER SUPPLY: 415 V AC, PHASE QUANTITY: 3, RATIO: 1:10, OUTPUT SPEED: 1457 RPM, FRAME: 132M, MOUNTING METHOD: FLANGE, INSULATION CLASS: F, ELECTRICAL POLE QUANTITY: 4, ENCLOSURE RATING: IP 55, SERVICE FACTOR: S1, APPLICATION: UT M/C ROLLER; MANUFACTURER PART NO:  FRTIEC110, MANUFACTURER:  MGM CO., MANUFACTURER PART NO:  BAX132MA4, MANUFACTURER: MGM CO.; WITH BRAKE(MAX.150NM)</t>
  </si>
  <si>
    <t>MMM201016170376</t>
  </si>
  <si>
    <t>MOTOR, GEARED; RATIO: 0.17, OUTPUT SPEED: 240 RPM; POWER:5.5 KILOWATT; POTENTIAL:415 VOLT; PHASE:3 NOT APPLICABLE; MOUNTING FACILITY:HORIZONTAL NOT APPLICABLE; MOTOR TYPE:GEARED NOT APPLICABLE; CURRENT:11.6 AMPERE</t>
  </si>
  <si>
    <t>Each</t>
  </si>
  <si>
    <t>MGE261115240005</t>
  </si>
  <si>
    <t>MRW241016350001</t>
  </si>
  <si>
    <t>MGE261115240597</t>
  </si>
  <si>
    <t>MGE261115241237</t>
  </si>
  <si>
    <t>MRW241016350002</t>
  </si>
  <si>
    <t>MGE261115241238</t>
  </si>
  <si>
    <t>GEARBOX; DIRECTION OF ROTATION: REVERSING, APPLICATION: BEAM LOWER 1, POT ROOM MAINTENANCE; SUPPLIER PART NO:  GBLY-791.11(PLANT 2), VENDOR: CHALIECO, REFERENCE NO:  GBLY691.11.0</t>
  </si>
  <si>
    <t>JACK; TYPE: SCREW, APPLICATION: BEAM LOWERING, POT ROOM MAINTENANCE; VENDOR:  CHALIECO GAMI, REFERENCE NO: PART CODE GBLY691.6.0, REFERENCE NO: PART CODE GBLY-791.11(PLANT 2), MANUFACTURER:  CHALIECO GAMI</t>
  </si>
  <si>
    <t>GEARBOX; TYPE: ROTATION DIRECTION REVERSING, APPLICATION: PLANT-2, BEAM LOWER 2, POT ROOM MAINTENANCE; MANUFACTURER PART NO:  GBLY-791.11, VENDOR:  CHALIECO, REFERENCE NO: GBLY691.5.0,GBLY-791.11(PLANT 2, REFERENCE NO:  GBLY691.5.0,GBLY-791.11(PLANT 2)</t>
  </si>
  <si>
    <t>GEARBOX; TYPE: REVERSING; VENDOR:  GAMI; VENDOR:  GUIZHOU SPACE WUJIANG MACHINE AND EQUIPMENT CO LTD; DRAWING: GBLY-791.11; VENDOR:GAMI</t>
  </si>
  <si>
    <t>JACK; TYPE: SCREW; VENDOR:  GAMI, VENDOR:  GUIZHOU SPACE WUJIANG MACHINE AND EQUIPMENT CO LTD; DRAWING: GBLY-791.11, POS: VD; AS</t>
  </si>
  <si>
    <t>GEARBOX; TYPE: REVERSING; VENDOR:  SEW EURO DRIVE; VENDOR:  GUIZHOU SPACE WUJIANG MACHINE AND EQUIPMENT CO LTD; DRAWING: GBLY-791.11</t>
  </si>
  <si>
    <t>Pic Available</t>
  </si>
  <si>
    <t>Electric Actuator
Model No: DZWBT120
24 RPM, 3KW, 1200 NM, IP65, 380V</t>
  </si>
  <si>
    <t>Grand Total on FOR Basis</t>
  </si>
  <si>
    <r>
      <rPr>
        <b/>
        <u/>
        <sz val="10"/>
        <rFont val="Calibri"/>
        <family val="2"/>
        <scheme val="minor"/>
      </rPr>
      <t>Terms &amp; Conditions</t>
    </r>
    <r>
      <rPr>
        <sz val="10"/>
        <rFont val="Calibri"/>
        <family val="2"/>
        <scheme val="minor"/>
      </rPr>
      <t xml:space="preserve">
Offer Basis FOR Plant basis.
Delivery Time:By Ship: 10 to 12 weeks from date of receipt of confirm PO.(covid-19 may affect delivery schedule)
G/Warranty: 12 months from date of  DISPATCH - only for manufacturing defects
Payment Terms: 100% payment against PI prior to delivery.
Offer Validity: 31 days from date of offer.
Any statutory changes in rate of tax etc will be applicable as on date of dispatch.
Minimum Order Qty: N/A
Standard packaging will be done for supply of above items.
100% fitment &amp; interchangeability of offered products. In case of any discrepancy, we will replace items promptly for free of cost. </t>
    </r>
  </si>
  <si>
    <t>JOP header PRV</t>
  </si>
  <si>
    <t xml:space="preserve">ITEM </t>
  </si>
  <si>
    <t>D151.74.12-1-1E05, Part No 11</t>
  </si>
  <si>
    <t>JOP Bearing MIV</t>
  </si>
  <si>
    <t>JOP DISCHARGE NRV 0m</t>
  </si>
  <si>
    <t>JOP Discharge MIV</t>
  </si>
  <si>
    <t>D151.74.12-1-1E05, Part No 6</t>
  </si>
  <si>
    <t>D151.74.12-1-1E05, Part No 19</t>
  </si>
  <si>
    <t>D151.74.12-1-1E05, Part No 13</t>
  </si>
  <si>
    <t>D151.30.24-1-1E05</t>
  </si>
  <si>
    <t>D151.63.03-1/1E05</t>
  </si>
  <si>
    <t>JOP DISCHARGE NRV 9 m</t>
  </si>
  <si>
    <t>MOT strainer</t>
  </si>
  <si>
    <t>Item pic required</t>
  </si>
  <si>
    <t>Sungme</t>
  </si>
  <si>
    <t>MHW311628006840</t>
  </si>
  <si>
    <t>MTP251738040091</t>
  </si>
  <si>
    <t>MHW311628006839</t>
  </si>
  <si>
    <t>MHW311629001030</t>
  </si>
  <si>
    <t>MHW311618011605</t>
  </si>
  <si>
    <t>MOM441221060277</t>
  </si>
  <si>
    <t>MHW311619001463</t>
  </si>
  <si>
    <t>MHW311619001462</t>
  </si>
  <si>
    <t>MHW311628006841</t>
  </si>
  <si>
    <t>SLEEVE; TYPE: VALVE, MATERIAL: CR12WMOV , 
APPLICATION: TURBINE GOVERNING VALVE;  
DRAWING: D151.34.20E05BM, POS: 7,  
MANUFACTURER: SHANGAI, DRAWING: A152 .34.20.03(1)</t>
  </si>
  <si>
    <t>SPINDLE; 
DIAMETER: 45 MM, MATERIAL:  CR12WMOV, 
APPLICATION: TURBINE  GOVERNING VALVE; 
DRAWING: D151.34 .20E05BM, POS: 8, 
MANUFACTURER: SHANGAI , 
DRAWING: B151.34.20.04(1)</t>
  </si>
  <si>
    <t>SLEEVE
TYPE: SPINDLE, MATERIAL:  25CR2MO1VA;
DRAWING: H151.34.20.02,  DRAWING: D151.34.20E05BM, POS: 9,  
MANUFACTURER: SHANGAI; FOR TURBINE  GOVERNING VALVE</t>
  </si>
  <si>
    <t>CLAMP
TYPE: RING, MATERIAL:  2CR12NIMO1W1V, 
APPLICATION: TURBINE  GOVERNING VALVE; 
DRAWING: D151.34 .20E05BM, POS: 11, 
MANUFACTURER:  SHANGAI, DRAWING: B151.34.20.10</t>
  </si>
  <si>
    <t>WASHER, LOCK
; MATERIAL: 30CR2MOV,  APPLICATION: TURBINE GOVERNING VALVE;  DRAWING: D151.34.21E05BM, POS: 12,  MANUFACTURER: SHANGAI, DRAWING: B151 .34.20.11</t>
  </si>
  <si>
    <t>PIN; 
APPLICATION: TURBINE GOVERNING  VALVE; DRAWING: D151.34.20E05BM, POS:  32, MANUFACTURER: SHANGAI, DRAWING:  A152.34.20.36(1)</t>
  </si>
  <si>
    <t>SPRING; 
MATERIAL: 60SI2CRA,  SPECIFICATION: INNER; DRAWING: D151.34 .20E05BM, POS: 38, MANUFACTURER:  SHANGAI, DRAWING: B151.34.20.24; FOR  TURBINE GOVERNING VALVE</t>
  </si>
  <si>
    <t>SPRING; 
MATERIAL: 60SI2CRA; DRAWING:  D151.34.20E05BM, POS: 39,  MANUFACTURER: SHANGAI, DRAWING: B151 .34.20.25; FOR TURBINE GOVERNING VALVE</t>
  </si>
  <si>
    <t>SLEEVE;
TYPE: SPINDLE, MATERIAL:  25CR2MO1VA; DRAWING: H151.34.20.02,  DRAWING: D151.34.20E05BM, POS: 9,  MANUFACTURER: SHANGAI; FOR TURBINE  GOVERNING VALVE</t>
  </si>
  <si>
    <t>SLEEVE; 
TYPE: INTERMEDIATE, MATERIAL:  25CR2MO1VA, APPLICATION: TURBINE  GOVERNING VALVE; DRAWING: D151.34 .21E05BM, POS: 74, MANUFACTURER:  SHANGAI, DRAWING: 90.152.34.20.29(4)</t>
  </si>
  <si>
    <t>Short Description</t>
  </si>
  <si>
    <t>SLV;VLV,CR12WMOV,TRBN GVRNNG VLV;D:D151</t>
  </si>
  <si>
    <t>SPNDL;45MM,CR12WMOV,TRBN GVRNNG VLV;D</t>
  </si>
  <si>
    <t>SLV;SPNDL,25CR2MO1VA;D:H151.34.20.02,D</t>
  </si>
  <si>
    <t>CLMP;RNG,2CR12NIMO1W1V,TRBN GVRNNG VLV;D</t>
  </si>
  <si>
    <t>WSHR LCK;30CR2MOV,TRBN GVRNNG VLV;D:D151</t>
  </si>
  <si>
    <t>PIN;TRBN GVRNNG VLV;D:D151.34.20E05BM,32</t>
  </si>
  <si>
    <t>SPG;60SI2CRA,I/N;D:D151.34.20E05BM,38,D</t>
  </si>
  <si>
    <t>SPG;60SI2CRA;D:D151.34.20E05BM,39,D:B151</t>
  </si>
  <si>
    <t>SLV;INTRMDT,25CR2MO1VA,TRBN GVRNNG VLV;D</t>
  </si>
  <si>
    <r>
      <rPr>
        <b/>
        <u/>
        <sz val="10"/>
        <rFont val="Calibri"/>
        <family val="2"/>
        <scheme val="minor"/>
      </rPr>
      <t>Terms &amp; Conditions</t>
    </r>
    <r>
      <rPr>
        <sz val="10"/>
        <rFont val="Calibri"/>
        <family val="2"/>
        <scheme val="minor"/>
      </rPr>
      <t xml:space="preserve">
Offer Basis FOR Plant basis.
Delivery Time:By Ship: 18 to 24 weeks from date of receipt of confirm PO.(covid-19 may affect delivery schedule)
G/Warranty: 12 months from date of  DISPATCH - only for manufacturing defects
Payment Terms: 100% payment against PI prior to delivery.
Offer Validity: 31 days from date of offer.
Any statutory changes in rate of tax etc will be applicable as on date of dispatch.
Minimum Order Qty: N/A
Standard packaging will be done for supply of above items.
100% fitment &amp; interchangeability of offered products. In case of any discrepancy, we will replace items promptly for free of cost. </t>
    </r>
  </si>
  <si>
    <t>GST as extra as applicable as per HSN.84069000</t>
  </si>
  <si>
    <t>Simo</t>
  </si>
  <si>
    <t>MGE261012100002</t>
  </si>
  <si>
    <t>MOTOR ELEC;M:Z2-62;CMPND,DRCT CRNT,220V</t>
  </si>
  <si>
    <t>MGE261011142099</t>
  </si>
  <si>
    <t>MOTOR ELEC;INDUCTN,415V AC,63A,37KW,415V</t>
  </si>
  <si>
    <t>MGE261011141049</t>
  </si>
  <si>
    <t>MOTOR GSC EXHAUST FAN KW7.5</t>
  </si>
  <si>
    <t>MOTOR, ELECTRIC; 
TYPE: COMPOUND, DIRECT CURRENT,VOLTAGE RATING: 220 V DC,CURRENT RATING: 41.3 A,POWER RATING: 7.5 KW,POWER SUPPLY: 220 V DC,SPEED: 1000 RPM,SHAFT DIAMETER: 38 MM,FRAME: Z2-62,
ELECTRICAL POLE QUANTITY: 6P,INSULATION CLASS: B,DUTY RATING: S1,MOUNTING METHOD: FOOT(B3),
ENCLOSURE RATING: IP23,APPLICATION: APH,
STANDARD: Q/XD514.017-2008; 
MODEL/MACHINE NO:  Z2-62, 
VENDOR: XIAN SIMO MOTORS INC GROUP
TAG/EQUIP NO:  20134818; BEARING: 6309/C3</t>
  </si>
  <si>
    <t>MOTOR, ELECTRIC; 
TYPE: INDUCTION, VOLTAGE RATING: 415 V AC, CURRENT RATING: 63 A, POWER RATING: 37 KW, POWER SUPPLY: 415 V AC, SPEED: 1475, SHAFT DIAMETER: 65,
FRAME: Y225S-4, 
ELECTRICAL POLE QUANTITY: 4, INSULATION CLASS: F, DUTY RATING: S1, MOUNTING METHOD: HORIZONTAL FOOT, PHASE QUANTITY: 3PH, APPLICATION: BARRING GEAR</t>
  </si>
  <si>
    <t>MOTOR, ELECTRIC;POWER 7.5 KW, POTENTIAL STAR-415 V, SPEED 2900 RPM,MOUNTING FACILITY HORIZONTAL, ENCLOSURE RATING IP55 INSULATION CLASS F, CURRENT 13.6 A; MODEL: Y2132S2-2;
FFT: FOR GSC EXHAUST FAN</t>
  </si>
  <si>
    <r>
      <rPr>
        <b/>
        <u/>
        <sz val="10"/>
        <rFont val="Calibri"/>
        <family val="2"/>
        <scheme val="minor"/>
      </rPr>
      <t>Terms &amp; Conditions</t>
    </r>
    <r>
      <rPr>
        <sz val="10"/>
        <rFont val="Calibri"/>
        <family val="2"/>
        <scheme val="minor"/>
      </rPr>
      <t xml:space="preserve">
Offer Basis FOR Plant basis.
Delivery Time:By Ship: 18 to 24 weeks from date of receipt of confirm PO.(covid-19 may affect delivery schedule)
G/Warranty: 12 months from date of  DISPATCH - only for manufacturing defects
Payment Terms: 100% payment against PI prior to delivery.
Offer Validity: 31 days from date of offer.
Any statutory changes in rate of tax etc will be applicable as on date of dispatch.
Minimum Order Qty: N/A
Standard packaging will be done for supply of above items.
+B3</t>
    </r>
  </si>
  <si>
    <t>CPU CARD</t>
  </si>
  <si>
    <t>CARD, ELECTRONIC; TYPE: CENTRAL PROCESSING UNIT, FUNCTION: CONTROL MONITOR; 
OEM PART NO:  ZN5.028.003, OEM:  SHANDONG LUNENG, EQUIP/TAG MODEL:  IDC-300B</t>
  </si>
  <si>
    <t>Power Card</t>
  </si>
  <si>
    <t>CARD, ELECTRONIC; TYPE: POWER, FUNCTION: CONTROL MONITOR, VOLTAGE RATING: 220 V DC; OEM PART NO:  ZN5.022.001, OEM:  SHANDONG LUNENG, EQUIP/TAG MODEL:  IDC-300B</t>
  </si>
  <si>
    <t>Analog Card</t>
  </si>
  <si>
    <t>CARD, ELECTRONIC; TYPE: ANALOG, FUNCTION: CONTROL MONITOR; OEM PART NO:  ZN5.028.002B, OEM:  SHANDONG LUNENG, EQUIP/TAG MODEL:  IDC 300B</t>
  </si>
  <si>
    <t>Input Switch Card</t>
  </si>
  <si>
    <t>CARD, ELECTRONIC; TYPE: SWITCH INPUT, FUNCTION: CONTROL  MONITOR; OEM PART NO:  ZN5.022.005, OEM:  SHANDONG LUNENG, EQUIP/TAG MODEL:  IDC-300B</t>
  </si>
  <si>
    <t>Output Switch Card</t>
  </si>
  <si>
    <t>CARD, ELECTRONIC; TYPE: SWITCH OUTPUT, FUNCTION: CONTROL MONITOR; OEM PART NO:  ZN5.022.004, OEM:  SHANDONG LUNENG, EQUIP/TAG MODEL:  IDC-300B</t>
  </si>
  <si>
    <t>MFS461716060001</t>
  </si>
  <si>
    <t>Leakage Alarm</t>
  </si>
  <si>
    <t>ALARM; TYPE: LEAKAGE; VENDOR:  SHENYANG ELECTRIC MACHINE CO LTD, 
VENDOR: YINGCHUAN, REFERENCE NO:  LB02, MANUFACTURER:  SHENYANG; F/TRANSFORMER</t>
  </si>
  <si>
    <t>MEL391223310025</t>
  </si>
  <si>
    <t>Control Relay</t>
  </si>
  <si>
    <t>RELAY; CONTROL; TYPE: OIL FLOW; CONTACT RATING: 5 (AC); 0.5 (DC) A; LINE VOLTAGE: 240 V; APPLICATION: COOLER; VENDOR:  YINGCHUAN; VENDOR:  SHENYANG CITY SPECIAL ELECTRICAL APPLIANCE PLANT CHINA; MODEL/MACHINE NO:  BLZ1-125-100/70</t>
  </si>
  <si>
    <t>MLB411125010022</t>
  </si>
  <si>
    <t>FLOW Meter</t>
  </si>
  <si>
    <t>METER, FLOW; TYPE: RAW WATER, VOLTAGE RATING: 240 V, CURRENT RATING: 5 A; MANUFACTURER PART NO:  BLZ1-200-240/180; F/REGULATING TRANSFORMER</t>
  </si>
  <si>
    <t>MEL391223311761</t>
  </si>
  <si>
    <t>RELAY, CONTROL; TYPE: MULTI FUNCTION, APPLICATION: DC POWER SUPERVISION; MNFR: LINT; MODEL/MACHINE NO: IDC-200 A</t>
  </si>
  <si>
    <t>MEL391223160001</t>
  </si>
  <si>
    <t>AUTO SYNCHRONIZER</t>
  </si>
  <si>
    <t>RELAY, SYNCHRONIZER; TYPE: AUTO SYNCHRONIZER, COIL VOLTAGE: 220 V DC; OEM PART NO:  SID-2CM; MAKE- SHENZHEN INTELLIGENT DEVICE DEVELOPMENT CO. LTD</t>
  </si>
  <si>
    <t>MGE261011120664</t>
  </si>
  <si>
    <t>Monitor</t>
  </si>
  <si>
    <t>MONITOR; TYPE: BEARING; MANUFACTURER PART NO:  SUS316 12-JN-003, VENDOR: NIKKISO, MANUFACTURER PART NO:  SUS316 12-JN-003, VENDOR:  NIKKISO TOKYO JAPAN, MODEL/MACHINE NO:  MS-01, REFERENCE NO:  Y-M-0704</t>
  </si>
  <si>
    <t>Fan</t>
  </si>
  <si>
    <t>FAN; TYPE: DRY TRANSFORMER PCC COOLING, VOLTAGE: 250 V AC, POWER: 80 W, AIR FLOW CAPACITY: 1000 M3/H, APPLICATION: DRY TYPE TRANSFORMER PCC; VENDOR: SHANDONG LINQING YIHE TRANSFORMER CO LTD, MODEL/MACHINE NO:  GFDD 470-155</t>
  </si>
  <si>
    <t>MAC401416200011</t>
  </si>
  <si>
    <t>Valve</t>
  </si>
  <si>
    <t>VALVE, BUTTERFLY; SIZE: DN 100, MEDIA: WATER, APPLICATION: COOLER; VENDOR: YINGCHUAN, MODEL/MACHINE NO:  D7A1X5-102B3</t>
  </si>
  <si>
    <t>MIA321310201391</t>
  </si>
  <si>
    <t>PCB;ML12;CARD, CONTROL,CNTRL UNIT,24V DC</t>
  </si>
  <si>
    <t>BOARD, PRINTED CIRCUIT; TYPE: CARD, CONTROL, FUNCTION: CONTROL UNIT, VOLTAGE RATING: 24 V DC, CURRENT RATING: 0.5 A, SPECIFICATION: MAKE SHANGHAI ELECTRIC; EQUIP/TAG MODE: ML12, MNFR: SHANGHAI ELECTRIC</t>
  </si>
  <si>
    <t>MEL391210330535</t>
  </si>
  <si>
    <t>TXFRMR POTNTL;JDZX16-15,15.75/1.732KV,0</t>
  </si>
  <si>
    <t>TRANSFORMER, POTENTIAL; TYPE: JDZX16-15,PRIMARY VOLTAGE RATING: 15.75/1.732 KV,SECONDARY VOLTAGE RATING: 0.11/1.732, 0.11/1.732 KV,APPARENT POWER: 50/100 VA,CONNECTION TYPE: COPPER WINDING,COOLING TYPE: NATURAL AIR,ACCURACY: CL 0.5/3P,PHASE QUANTITY: 1PH,FREQUENCY: 50 HZ,VECTOR GROUP: 1A-1N / 2A-2N,SPECIFICATION: GB1207-1997; MODEL/MACHINE NO:  JDZX16-15; OEM: SHENYANG INSTRUMENT TRANSFORMER CO LTD</t>
  </si>
  <si>
    <t>MEL391210330533</t>
  </si>
  <si>
    <t>TXFRMR POTNTL;R:GB1207-1997;HV,15.75/1</t>
  </si>
  <si>
    <t>TRANSFORMER, POTENTIAL; TYPE: HIGH VOLTAGE,PRIMARY VOLTAGE RATING: 15.75/1.732 KV,SECONDARY VOLTAGE RATING: 0.11/1.732 ; 0.11/3 KV,APPARENT POWER: 50/100 VA,CONNECTION TYPE: COPPER WINDING,COOLING TYPE: NATURAL AIR,ACCURACY: CL 0.5/3P,PHASE QUANTITY: 1,DIMENSIONS: 550 X 360 X 580 MM; REFERENCE NO:  GB1207-1997; OEM: SHENYANG INSTRUMENT TRANSFORMER CO LTD</t>
  </si>
  <si>
    <t>MEL391210330534</t>
  </si>
  <si>
    <t>TXFRMR POTNTL;M:JDZX16-15,R:GB1207-1997</t>
  </si>
  <si>
    <t>TRANSFORMER, POTENTIAL; PRIMARY VOLTAGE RATING: 15.75/1.732,SECONDARY VOLTAGE RATING: 0.11/1.732 AND 0.11/3,APPARENT POWER: 50/100 VA,COOLING TYPE: NATURAL AIR,ACCURACY: CL 0.5/3P,PHASE QUANTITY: 1PH,FREQUENCY: 50 HZ,TERMINAL QUANTITY: 2,DIMENSIONS: 550 X 360 X 560 MM; MODEL/MACHINE NO: JDZX16-15, REFERENCE NO:  GB1207-1997; OEM: SHENYANG INSTRUMENT TRANSFORMER CO LTD</t>
  </si>
  <si>
    <t>MIT432015420057</t>
  </si>
  <si>
    <t>UNIT CNTRL;INTLLGNT TRIP;VOLTAGE: 24 VDC</t>
  </si>
  <si>
    <t>UNIT; CONTROL; TYPE: INTELLIGENT TRIP; POWER SUPPLY: VOLTAGE: 24 VDC; CURRENT: 400 A; VENDOR:  KFINE; POLE QTY: 3P</t>
  </si>
  <si>
    <t>MIT432015420456</t>
  </si>
  <si>
    <t>UNIT CNTRL;INTLLGNT TRIP;24 VDC; 1250 A</t>
  </si>
  <si>
    <t>UNIT; CONTROL; TYPE: INTELLIGENT TRIP; POWER SUPPLY: 24 VDC; 1250 A; 2P; SPECIFICATION: UNIT 4; VENDOR:  KFINE; NO: 4</t>
  </si>
  <si>
    <t>MIT432015420058</t>
  </si>
  <si>
    <t>UNIT CNTRL;INTLLGNT TRIP,24VDC 1250A</t>
  </si>
  <si>
    <t>UNIT, CONTROL; TYPE: INTELLIGENT TRIP, POWER SUPPLY: 24VDC 1250A; VENDOR: KFINE; POLE QTY: 4P</t>
  </si>
  <si>
    <t>MIT432015420462</t>
  </si>
  <si>
    <t>UNIT CNTRL;INTLLGNT TRIP,24 VDC, 1600 A</t>
  </si>
  <si>
    <t>UNIT, CONTROL; TYPE: INTELLIGENT TRIP, POWER SUPPLY: 24 VDC, 1600 A, 4P, SPECIFICATION: UNIT 4; VENDOR:  KFINE; NO: 4</t>
  </si>
  <si>
    <t>MIT432015420056</t>
  </si>
  <si>
    <t>UNIT CNTRL;INTLLGNT TRIP,24VDC 800A;POLE</t>
  </si>
  <si>
    <t>UNIT, CONTROL; TYPE: INTELLIGENT TRIP, POWER SUPPLY: 24VDC 800A; VENDOR: KFINE; POLE QTY: 4P</t>
  </si>
  <si>
    <t>MIT432015420463</t>
  </si>
  <si>
    <t>UNIT CNTRL;INTLLGNT TRIP;24 VDC; 630 A</t>
  </si>
  <si>
    <t>UNIT; CONTROL; TYPE: INTELLIGENT TRIP; POWER SUPPLY: 24 VDC; 630 A; SPECIFICATION: UNIT 4; VENDOR:  KFINE; DRAWING: UNKNOWN; POS: 4; POLE QTY: 4</t>
  </si>
  <si>
    <t>MIT432015420455</t>
  </si>
  <si>
    <t>UNIT CNTRL;INTLLGNT TRIP;24 VDC; 400 A</t>
  </si>
  <si>
    <t>UNIT; CONTROL; TYPE: INTELLIGENT TRIP; POWER SUPPLY: 24 VDC; 400 A; 4P V DC; SPECIFICATION: UNIT 4; VENDOR:  KFINE; NO: 4</t>
  </si>
  <si>
    <t>MIT432015420454</t>
  </si>
  <si>
    <t>UNIT CNTRL;INTELLIGENT TRIP 4P 1000A</t>
  </si>
  <si>
    <t>UNIT, CONTROL; TYPE: INTELLIGENT TRIP 4P 1000A, SPECIFICATION: UNIT 4; VENDOR:  KFINE; SUPPLY:24 DC VOLT</t>
  </si>
  <si>
    <t>MIT432015420059</t>
  </si>
  <si>
    <t>UNIT CNTRL;INTLLGNT TRIP,24VDC 630A;POLE</t>
  </si>
  <si>
    <t>UNIT, CONTROL; TYPE: INTELLIGENT TRIP, POWER SUPPLY: 24VDC 630A; VENDOR: KFINE; POLE QTY: 4P</t>
  </si>
  <si>
    <t>CABL ELEC;ARMOURED,2.5KV,20A,(5) CORE</t>
  </si>
  <si>
    <t>CABLE, ELECTRICAL; TYPE: ARMOURED,VOLTAGE RATING: 2.5 KV,CURRENT RATING: 20 A,CONDUCTOR QUANTITY: (5) CORE,CONDUCTOR DIAMETER: 2 MM,CONDUCTOR MATERIAL: SOLID COPPER,INSULATION MATERIAL: CROSS-LINKED POLYETHYLENE,INSULATION COLOR(S): RED, BLACK, WHITE,OUTER DIAMETER: 20 MM,OUTER SHEATH MATERIAL: POLYVINYL CHLORIDE,OUTER SHEATH COLOR: BLACK,APPLICATION: HIGH VOLT IGNITOR; MODEL/MACHINE NO:  XDH-20L, VENDOR:  XUZHOU COMBUSTION CONTROL RESEARCH INCTITUTE CO LTD</t>
  </si>
  <si>
    <t>MGE261013020082</t>
  </si>
  <si>
    <t>TXMTR TEMP;PN:IDCB-4E/DR/Y;IDCB</t>
  </si>
  <si>
    <t>TRANSMITTER, TEMPERATURE; TYPE: IDCB,MEASUREMENT RANGE: -100 TO 500 DEG C,OUTPUT: RS-485,POWER SUPPLY: 230 V AC,CONNECTION SIZE: 20 NO,CONNECTION TYPE: RTD; MANUFACTURER PART NO:  IDCB-4E/DR/Y, MANUFACTURER:  WUXI</t>
  </si>
  <si>
    <t>MIT432117110002</t>
  </si>
  <si>
    <t>SCNR;M:XHT - 6;FLME;24V DC;F/DIGITAL</t>
  </si>
  <si>
    <t>SCANNER; TYPE: FLAME; VOLTAGE: 24 V DC; MODEL/MACHINE NO:  XHT - 6; F/DIGITAL INTELLIGENT FLAME DETECTING UNIT; VOL</t>
  </si>
  <si>
    <t>MIA321310200103</t>
  </si>
  <si>
    <t>CRD ELECTRNC;PWR; IDM20</t>
  </si>
  <si>
    <t>CARD, ELECTRONIC; TYPE: POWER; VENDOR: SHANGHAI ELECTRIC, EQUIP/TAG MODE: IDM20</t>
  </si>
  <si>
    <t>MCV301024000067</t>
  </si>
  <si>
    <t>ROD;SPRK,HEA</t>
  </si>
  <si>
    <t>ROD; TYPE: SPARK, APPLICATION: HEA</t>
  </si>
  <si>
    <t>MLB411119000160</t>
  </si>
  <si>
    <t>PRB;M:XHT 6;OPTCL,FLM SCNNR</t>
  </si>
  <si>
    <t>PROBE; TYPE: OPTICAL, APPLICATION: FLAME SCANNER; MODEL/MACHINE NO:  XHT 6, VENDOR:  XCC CHINA</t>
  </si>
  <si>
    <t>MCF313811090001</t>
  </si>
  <si>
    <t>MGNT PERM;16AI;CYLNDRCL,OD25MM</t>
  </si>
  <si>
    <t>MAGNET, PERMANENT; SHAPE: CYLINDRICAL, DIMENSIONS: OD 25 MM, MATERIAL: ANISOTROPIC STRONTIUM FERRITE, SPECIFICATION: LENGTH 6 MM; EQUIP/TAG MODE: 16AI, MNFR: SHANGHAI ELECTRIC</t>
  </si>
  <si>
    <t>MEL391213030002</t>
  </si>
  <si>
    <t>BX ELEC;HEAT IGNTR</t>
  </si>
  <si>
    <t>BOX; ELECTRICAL; TYPE: HEAT IGNITOR</t>
  </si>
  <si>
    <t>MIA321517050255</t>
  </si>
  <si>
    <t>MODL;220V AC,INTELLIGENT TACHOMETER/AIR</t>
  </si>
  <si>
    <t>MODULE; INPUT: 220 V AC, APPLICATION: INTELLIGENT TACHOMETER/AIR PREHEATER; VENDOR:  RAS</t>
  </si>
  <si>
    <t>MAC401416050051</t>
  </si>
  <si>
    <t>VLV SLND;M:HU515D,0550OC.1- 000/6722</t>
  </si>
  <si>
    <t>VALVE, SOLENOID; PRESSURE RATING: 10 BAR, VOLTAGE RATING: 240 V AC, FREQUENCY: 50/60 HZ, APPLICATION: HEA IGNITOR; MODEL/MACHINE NO:  HU515D, REFERENCE NO:  0550OC.1- 000/6722; APPARENT POWER: 7.8 VA/6.3 VA, PRESSURE: 10 BAR, 100 PCT ED</t>
  </si>
  <si>
    <t>CRD ELECTRNC;PN:ZN5.028.003;CPU,CNTRL</t>
  </si>
  <si>
    <t>CARD, ELECTRONIC; TYPE: CENTRAL PROCESSING UNIT, FUNCTION: CONTROL MONITOR; OEM PART NO:  ZN5.028.003, OEM:  SHANDONG LUNENG, EQUIP/TAG MODEL:  IDC-300B</t>
  </si>
  <si>
    <t>CRD ELECTRNC;PN:ZN5.022.001;PWR,CNTRL</t>
  </si>
  <si>
    <t>CARD, ELECTRONIC; TYPE: POWER, FUNCTION: CONTROL MONITOR, VOLTAGE RATING: 220 V DC; OEM PART NO:  ZN5.022.001, OEM:  SHANDONG LUNENG, EQUIP/TAG MODEL:  IDC-300B</t>
  </si>
  <si>
    <t>CRD ELECTRNC;PN:ZN5.028.002B;ANLG,CNTRL</t>
  </si>
  <si>
    <t>CARD, ELECTRONIC; TYPE: ANALOG, FUNCTION: CONTROL MONITOR; OEM PART NO:  ZN5.028.002B, OEM:  SHANDONG LUNENG, EQUIP/TAG MODEL:  IDC 300B</t>
  </si>
  <si>
    <t>CRD ELECTRNC;PN:ZN5.022.005,EQ M:IDC</t>
  </si>
  <si>
    <t>CARD, ELECTRONIC; TYPE: SWITCH INPUT, FUNCTION: CONTROL  MONITOR; OEM PART NO:  ZN5.022.005, OEM:  SHANDONG LUNENG, EQUIP/TAG MODEL:  IDC-300B</t>
  </si>
  <si>
    <t>CRD ELECTRNC;PN:ZN5.022.004;SWCH O/P</t>
  </si>
  <si>
    <t>CARD, ELECTRONIC; TYPE: SWITCH OUTPUT, FUNCTION: CONTROL MONITOR; OEM PART NO:  ZN5.022.004, OEM:  SHANDONG LUNENG, EQUIP/TAG MODEL:  IDC-300B</t>
  </si>
  <si>
    <t>ALRM;LB02;LEAKAGE;F/TRANSFORMER</t>
  </si>
  <si>
    <t>ALARM; TYPE: LEAKAGE; VENDOR:  SHENYANG ELECTRIC MACHINE CO LTD, VENDOR: YINGCHUAN, REFERENCE NO:  LB02, MANUFACTURER:  SHENYANG; F/TRANSFORMER</t>
  </si>
  <si>
    <t>RLY CNTRL;M:BLZ1-125-100/70;OIL FLW;5</t>
  </si>
  <si>
    <t>RELAY; CONTROL; TYPE: OIL FLOW; CONTACT RATING: 5 (AC); 0.5 (DC) A; LINE VOLTAGE: 240 V; APPLICATION: COOLER; VENDOR:  YINGCHUAN; VENDOR:  SHENYANG CITY SPECIAL ELECTRICAL APPLIANCE PLANT CHINA; MODEL/MACHINE NO:  BLZ1-125-100/70</t>
  </si>
  <si>
    <t>MTR FLW;PN:BLZ1-200-240/180;RAW WTR;240V</t>
  </si>
  <si>
    <t>METER, FLOW; TYPE: RAW WATER, VOLTAGE RATING: 240 V, CURRENT RATING: 5 A; MANUFACTURER PART NO:  BLZ1-200-240/180; F/REGULATING TRANSFORMER</t>
  </si>
  <si>
    <t>RLY CNTRL;M:IDC-200 A;MLTI FUNCTION</t>
  </si>
  <si>
    <t>RLY SYNCHRNZR;PN:SID-2CM;AUTO SYNCHRNZR</t>
  </si>
  <si>
    <t>RELAY, SYNCHRONIZER; TYPE: AUTO SYNCHRONIZER, COIL VOLTAGE: 220 V DC; OEM PART NO:  SID-2CM; MAKE- SHENZHEN INTELLIGENT DEVICE DEVELOPMENT CO. LTD</t>
  </si>
  <si>
    <t>MONTR;PN:SUS316 12-JN-003,PN:SUS316 12</t>
  </si>
  <si>
    <t>MONITOR; TYPE: BEARING; MANUFACTURER PART NO:  SUS316 12-JN-003, VENDOR: NIKKISO, MANUFACTURER PART NO:  SUS316 12-JN-003, VENDOR:  NIKKISO TOKYO JAPAN, MODEL/MACHINE NO:  MS-01, REFERENCE NO:  Y-M-0704</t>
  </si>
  <si>
    <t>FAN;M:GFDD 470-155;DRY TXFRMR PCC CLNG</t>
  </si>
  <si>
    <t>VLV BTTRFLY;M:D7A1X5-102B3;DN100;WTR</t>
  </si>
  <si>
    <t>VALVE, BUTTERFLY; SIZE: DN 100, MEDIA: WATER, APPLICATION: COOLER; VENDOR: YINGCHUAN, MODEL/MACHINE NO:  D7A1X5-102B3</t>
  </si>
  <si>
    <t>Rotork</t>
  </si>
  <si>
    <t>MRW311516090007</t>
  </si>
  <si>
    <t>MAC401416090143</t>
  </si>
  <si>
    <t>MAC401416370270</t>
  </si>
  <si>
    <t>MAC401517010258</t>
  </si>
  <si>
    <t>MHW311630070001</t>
  </si>
  <si>
    <t>MHW311627020821</t>
  </si>
  <si>
    <t>MGE261115101787</t>
  </si>
  <si>
    <t>MGE261115101788</t>
  </si>
  <si>
    <t>MGE261119050001</t>
  </si>
  <si>
    <t>MAC401517010297</t>
  </si>
  <si>
    <t>MAC401517010298</t>
  </si>
  <si>
    <t>MMT311715070458</t>
  </si>
  <si>
    <t>MMT311715200016</t>
  </si>
  <si>
    <t>MRW241017090018</t>
  </si>
  <si>
    <t>MAC401517300278</t>
  </si>
  <si>
    <t>MAC401517300276</t>
  </si>
  <si>
    <t>MAC401517300115</t>
  </si>
  <si>
    <t>MAC401517320255</t>
  </si>
  <si>
    <t>MGS311817050221</t>
  </si>
  <si>
    <t>MAC401416093634</t>
  </si>
  <si>
    <t>MGM271315100004</t>
  </si>
  <si>
    <t>MMT311715090312</t>
  </si>
  <si>
    <t>MMT311715090310</t>
  </si>
  <si>
    <t>MAC401417000353</t>
  </si>
  <si>
    <t>MAC401515210026</t>
  </si>
  <si>
    <t>MAC401515210019</t>
  </si>
  <si>
    <t>MAC401517000203</t>
  </si>
  <si>
    <t>MHW311624191658</t>
  </si>
  <si>
    <t>MAC401416450093</t>
  </si>
  <si>
    <t>MGS311817040014</t>
  </si>
  <si>
    <t>MAC401417310077</t>
  </si>
  <si>
    <t>MAC401517300068</t>
  </si>
  <si>
    <t>MIA312515150006</t>
  </si>
  <si>
    <t>MAC401416080028</t>
  </si>
  <si>
    <t>MAC401416160452</t>
  </si>
  <si>
    <t>MHW311628110306</t>
  </si>
  <si>
    <t>MMT311715451014</t>
  </si>
  <si>
    <t>MAC401416090060</t>
  </si>
  <si>
    <t>MAC401416220202</t>
  </si>
  <si>
    <t>MAC401416220204</t>
  </si>
  <si>
    <t>MAC401416160453</t>
  </si>
  <si>
    <t>MAC401416220098</t>
  </si>
  <si>
    <t>MAC401517010036</t>
  </si>
  <si>
    <t>MAC401416160454</t>
  </si>
  <si>
    <t>MGS314117033147</t>
  </si>
  <si>
    <t>MGS314117033148</t>
  </si>
  <si>
    <t>MGS314117033149</t>
  </si>
  <si>
    <t>MGS314117033150</t>
  </si>
  <si>
    <t>MAC401416460189</t>
  </si>
  <si>
    <t>MMT311715190089</t>
  </si>
  <si>
    <t>MAC401416160451</t>
  </si>
  <si>
    <t>MAC401416060082</t>
  </si>
  <si>
    <t>MAC401416220097</t>
  </si>
  <si>
    <t>MAC401515210099</t>
  </si>
  <si>
    <t>MHW311632020119</t>
  </si>
  <si>
    <t>MAC401417310076</t>
  </si>
  <si>
    <t>MHW311628001111</t>
  </si>
  <si>
    <t>MHW311619000225</t>
  </si>
  <si>
    <t>MAC401416450088</t>
  </si>
  <si>
    <t>MAC401416450087</t>
  </si>
  <si>
    <t>MAC401416221338</t>
  </si>
  <si>
    <t>MAC401416062081</t>
  </si>
  <si>
    <t>MAC401416170139</t>
  </si>
  <si>
    <t>MAC401416221337</t>
  </si>
  <si>
    <t>MAC401416170140</t>
  </si>
  <si>
    <t>MAC401416060059</t>
  </si>
  <si>
    <t>MAC401416162081</t>
  </si>
  <si>
    <t>MGS311817020065</t>
  </si>
  <si>
    <t>MAC401416050361</t>
  </si>
  <si>
    <t>MHW311632230058</t>
  </si>
  <si>
    <t>MHW311617271403</t>
  </si>
  <si>
    <t>MHW311618011555</t>
  </si>
  <si>
    <t>MGS311817051015</t>
  </si>
  <si>
    <t>LINK, CHAIN TRANSMISSION; TYPE: ROUND LINK,MATERIAL: CASE HARDENING STEEL 18CRNIMO7-6 (DIN 1.6587),PITCH: 92 MM,DIAMETER: 26 MM,SPECIFICATION: A 26 X 92 G80E10; OEM PART NO:  13987, OEM: PEWAG AUSTRIA GMBH, EQUIP/TAG MODEL: GBL12BX14, MANUFACTURER:  QINGDAO SIZHOU; F/SUBMERGED SCRAPPER CONVEYOR BOTTOM ASH</t>
  </si>
  <si>
    <t>VALVE, CONTROL; TYPE: SHUTOFF, SIZE: DN 10; OEM PART NO:  110302010008, VENDOR:  SHANGHAI HUIYI HYDRAULIC ENGINEERING CO LTD, MODEL/MACHINE NO: HY-JLF10.01Z; F/HP BYPASS ATTEMPERATION STOP VALVE, HYBYPASS ATTEMPERATION CONTROL VALVE, LP:BYPASS, LP:BYPASS ATTEMPERATION STOP VALVE, LP:BYPASS ATTEMPERATION CONTROL VALVE ACTUATORS</t>
  </si>
  <si>
    <t>VALVE, CHECK; APPLICATION: TURBINE; EQUIP/TAG MODEL:  20143758; DRAWING: JSG-H64Y-36C(L)T17-00A, MANUFACTURER: SHANGHAI POWER EQUIPMENT MANUFACTURER CO LTD, CHINA; WITH SPINDLE, DISC, BUSH</t>
  </si>
  <si>
    <t>CASING; APPLICATION: LP DRIP PUMP; VENDOR:  SHANGHAI HUALIAN PUMP CO.LTD., EQUIP/TAG MODE: 150NW55-190</t>
  </si>
  <si>
    <t>COUPLING; TYPE: CHAIN,DIMENSIONS: 26 X 92 MM,MATERIAL SPECIFICATION: 26X92 TWN 142,SURFACE TREATMENT: TROUGH HARDENED,APPLICATION: SUBMERGED SCRAPPER CONVEYOR; OEM PART NO:  94354, OEM:  PEWAG AUSTRIA GMBH, EQUIP/TAG MODEL:  GBL12BX14, MANUFACTURER: QINGDAO SIZHOU</t>
  </si>
  <si>
    <t>WHEEL; TYPE: REAR BOTTOM ROLLER WHEEL; OEM PART NO:  GBLB26XT.0, OEM:  GE POWER INDIA LIMITED, EQUIP/TAG MODEL: GBL12B×14, MANUFACTURER:  GE POWER INDIA LIMITED; SUBMERGED SCRAPPER CONVEYOR</t>
  </si>
  <si>
    <t>SHAFT; TYPE: TENSION BLOCK SHAFT, APPLICATION: SUBMERGED SCRAPPER CONVEYOR; OEM PART NO:  GBL12B.15Z, OEM:  ALSTOM SIZHOU ELECTRIC POWER EQUIPMENT CO LTD, MODEL/MACHINE NO: GBL12B×14, VENDOR:  ALSTOM SIZHOU ELECTRIC POWER EQUIPMENT CO LTD</t>
  </si>
  <si>
    <t>SHAFT ASSEMBLY; TYPE: FRONT BOTTOM ROLLER SHAFT, APPLICATION: SUBMERGED SCRAPPER CONVEYOR; OEM PART NO: GBL12B.5, OEM:  ALSTOM SIZHOU ELECTRIC POWER EQUIPMENT CO LTD, EQUIP/TAG MODEL:  GBL12B×14, MANUFACTURER: ALSTOM SIZHOU ELECTRIC POWER EQUIPMENT CO LTD</t>
  </si>
  <si>
    <t>CLUTCH; TYPE: FREE WHEEL, APPLICATION: APH GEARBOX; EQUIP/TAG MODE: SGW90-100 CCW</t>
  </si>
  <si>
    <t>CASING, PUMP; TYPE: BARREL, DRIVE END SIDE, APPLICATION: BOOSTER PUMP; OEM PART NO:  QG500-80-102, OEM:  SHANGHAI POWER EQUIPMENT CO LTD, EQUIP/TAG MODEL:  QG500-80; DRAWING: JSG-QG500-80-00(1/3), POS: 102</t>
  </si>
  <si>
    <t>CASING, PUMP; TYPE: BARREL, NON-DRIVE END SIDE, MATERIAL: CARBON STEEL, MATERIAL GRADE: ZG230-450, APPLICATION: BOOSTER PUMP; OEM PART NO:  QG500-80-103, OEM:  SHANGHAI POWER EQUIPMENT CO LTD, EQUIP/TAG MODEL:  QG500-80; DRAWING: JSG-QG500-80-00(1/3), POS: 103</t>
  </si>
  <si>
    <t>BEARING, THRUST; OEM PART NO:  DG750-180-06-00, OEM:  SPEM, CHINA, EQUIP/TAG MODEL:  FK5G32, MANUFACTURER:  SPEM, CHINA</t>
  </si>
  <si>
    <t>BEARING; TYPE: JOURNAL; MANUFACTURER PART NO:  FK5G32-04-12, VENDOR: SHANGHAI POWER EQUIPMENT MANUFACTURER &amp; REPAIR, CHINA, REFERENCE NO:  BFP FK5G32</t>
  </si>
  <si>
    <t>ROLLER; TYPE: GUIDE ROLLER,APPLICATION: SSC SYSTEM; OEM PART NO:  GBL12B.19, OEM:  GE POWER INDIA LIMITED, EQUIP/TAG MODEL:  GBL12B×14, MANUFACTURER:  GE POWER INDIA LIMITED</t>
  </si>
  <si>
    <t>IMPELLER, PUMP; TYPE: SECOND STAGE; MODEL/MACHINE NO:  150NW55-190; F/DRIP PUMP (FLOW: 55 M3/H, LIFT: 190M, SPEED: 2.970 RPM, NPSH: 1.8M, EFFICIENCY: 61PCT)</t>
  </si>
  <si>
    <t>IMPELLER, PUMP; TYPE: FIRST STAGE; MODEL/MACHINE NO:  150NW55-190; F/DRIP PUMP (FLOW: 55 M3/H, LIFT:190M, SPEED: 2, 970 RPM, NPSH: 1.8M, EFFICIENCY: 61 PCT)</t>
  </si>
  <si>
    <t>IMPELLER; PUMP; DIAMETER: 335 MM; MATERIAL: STAINLESS STEEL; MATERIAL GRADE: 316; ICW</t>
  </si>
  <si>
    <t>SHAFT; PUMP; VENDOR:  SHANGHAI HUAYI CONSTRUCTION MACHINERY CO LTD; EQUIP/TAG MODE: 150NW55-190; F/DRIP PUMP (FLOW RATE: 55 M3/H; LIFT: 190M; SPEED: 2; 970 RPM; NPSH: 1.8M EFFICIENCY: 61 PCT)</t>
  </si>
  <si>
    <t>SEAL, RING; MATERIAL: CAST IRON GR H200, APPLICATION: IMPELLER; COOLING WATER PUMP; MODEL/MACHINE NO:  44LBXA-23; DRAWING: 44LBXA-23-0022</t>
  </si>
  <si>
    <t>VALVE, RELIEF; TYPE: PROPORTIONAL RELIEF VALVE, SIZE: ISO 6264:10, PRESSURE RATING: 350 BAR, APPLICATION: MILL HYDRAULIC SYSTEM; OEM PART NO: AGMZO-REB-P-NP-10/350/I 10, OEM:  ATOS</t>
  </si>
  <si>
    <t>BLADDER, ACCUMULATOR; APPLICATION: HYDRAULIC SYSTEM; VENDOR:  SHAOYANG HUNAN P.R.C HYDRAULIC CO LTD, CHINA, EQUIP/TAG MODE: XYZ-2500</t>
  </si>
  <si>
    <t>BEARING, SLEEVE; TYPE: NON DRIVE END, JOURNAL; OEM PART NO:  QG500-80-403/404, VENDOR:  SHANGHAI POWER EQUIPMENT MANUFACTURER &amp; REPAIR, CHINA</t>
  </si>
  <si>
    <t>BEARING, SLEEVE; APPLICATION: BOOSTER PUMP; MANUFACTURER PART NO:  QG500-80-503/504, VENDOR:  SHANGHAI POWER EQUIPMENT MANUFACTURER &amp; REPAIR, CHINA</t>
  </si>
  <si>
    <t>PLUG; MATERIAL: ALLOY STEEL, MATERIAL GRADE: 420, MATERIAL SPECIFICATION: ASTM  A276; OEM PART NO:  2-01250010-33, VENDOR:  HUDDERSFIELD VALVES LTD; VALVE (STYLE: GLOBE, SIZE: 100 MM)</t>
  </si>
  <si>
    <t>PUMP, ROTARY; TYPE: HYDRAULIC GEAR, PRESSURE RATING: 21 MPA, DRIVER: 2.2 KW, DISPLACEMENT: 4.0 ML/R; MODEL/MACHINE NO:  XYZ-2500, MODEL/MACHINE NO:  CBWMB-F4.0L-ALP; DISPLACEMENT: 4.0 ML/R</t>
  </si>
  <si>
    <t>PUMP, ROTARY; TYPE: INDUCER DRIP, FLOW RATE: 55 M3/H, SPEED: 2970 RPM, TOTAL HEAD: 190 M, NPSH: 1.8 M; VENDOR: SHANGHAI HUAYI CONSTRUCTION MACHINERY CO LTD, MODEL/MACHINE NO:  NPSH 1.8 M, MODEL/MACHINE NO:  150NW55-190; EFFICIENCY 61PCT</t>
  </si>
  <si>
    <t>SLEEVE; TYPE: MIDDLE; APPLICATION: SHAFT; OEM PART NO:  7LDTNB-6PJS-0006 (YD); VENDOR:  SHENYANG PUMP CO LTD CHINA; DRAWING: 7LDTNB-6PJS-0000MX ; POS: 23</t>
  </si>
  <si>
    <t>RING, WEAR; MATERIAL: STAINLESS STEEL, MATERIAL GRADE: 3CR13, APPLICATION: BFP BOOSTER PUMP; OEM PART NO:  QG500-80-105, OEM:  SHANGHAI POWER EQUIPMENT CO LTD, EQUIP/TAG MODEL:  QG500-80; DRAWING: JSG-QG500-80-00(1/3), POS: 104</t>
  </si>
  <si>
    <t>STEM, VALVE; TYPE: HIGH PRESSURE SPRAY CONTROL, VALVE TYPE: GLOBE, VALVE SIZE: 100 MM, MATERIAL: STAINLESS STEEL ASTM A276 GR 420; OEM PART NO: 2-04250010-33, VENDOR:  HUDDERSFIELD VALVES LTD; FRS 30 PCT</t>
  </si>
  <si>
    <t>BOX, STUFFING; APPLICATION: PUMP; EQUIP/TAG MODE: 44LBXA-23 SM</t>
  </si>
  <si>
    <t>NOZZLE; TYPE: DEAERATOR SAFETY VLV, COMMERCIAL SIZE: DN 150, MATERIAL: STAINLESS STEEL, MATERIAL GRADE: 2CR13; MODEL/MACHINE NO:  A48Y-16C</t>
  </si>
  <si>
    <t>IMPELLER, PUMP; F/GROUNDWATER CIRCULATION WELL</t>
  </si>
  <si>
    <t>KIT, ACTUATOR REPAIR; EQUIP/TAG MODE: 11AI</t>
  </si>
  <si>
    <t>VALVE; TYPE: HYDRAULIC; APPLICATION: COAL MILL; VENDOR:  SEPCO; VENDOR:  JEOU GANG HYDRAULIC INDUSTRIAL CO.LTD; MODEL/MACHINE NO:  ADR-15; VENDOR:  ATOS; EQUIP/TAG MODE: ZGM 133G</t>
  </si>
  <si>
    <t>DISC; TYPE: DEAERATOR SAFETY VALVE; DIMENSIONS: DN 150; MATERIAL: STAINLESS STEEL; MATERIAL GRADE: 2CR13; EQUIP/TAG MODE: A48Y-16C</t>
  </si>
  <si>
    <t>COLLAR; OEM PART NO:  DG750-180-03-21, OEM:  SPEM, CHINA, EQUIP/TAG MODEL: FK5G32, MANUFACTURER:  SPEM, CHINA</t>
  </si>
  <si>
    <t>COVER, BEARING; OEM PART NO:  FK5G32-05-02, OEM:  SPEM, CHINA, EQUIP/TAG MODEL:  FK5G32, MANUFACTURER:  SPEM, CHINA</t>
  </si>
  <si>
    <t>VALVE, CONTROL; TYPE: FLOW, APPLICATION: HYDRAULIC SYSTEM; EQUIP/TAG MODE: XYZ-2500, MNFR: SHAOYANG HUNAN P.R.C. HYDRAULIC COMPANY LTD, CHINA</t>
  </si>
  <si>
    <t>VALVE, CHECK; TYPE: NON RETURN; OEM PART NO:  B152.33.01.04, VENDOR: SHANGHAI TURBINE CO LTD; DRAWING: D151.33.01E05BM, POS: 10; USED IN HP GOVERNING VALVE</t>
  </si>
  <si>
    <t>VALVE, CHECK; TYPE: NON RETURN; MANUFACTURER PART NO:  A156.33.01.13, VENDOR:  SHANGHAI TURBINE CO LTD; DRAWING: D151.33.31E05BM, POS: 18; USED IN IP CONTROL VALVE AND IP STOP VALVE</t>
  </si>
  <si>
    <t>DISC; MATERIAL: STAINLESS STEEL, MATERIAL GRADE: 2CR13; EQUIP/TAG MODE: A48Y-64; HP HEATER1 SAFETY VLV, SIZE: DN80</t>
  </si>
  <si>
    <t>VALVE, CHECK; OPERATED: PILOT, APPLICATION: HYDRAULIC SYSTEM; VENDOR:  SHAOYANG HUNAN P.R.C. HYDRAULIC COMPANY LTD, EQUIP/TAG MODE: XYZ 2500, MNFR: SHAOYANG HUNAN P.R.C. HYDRAULIC COMPANY LTD, CHINA</t>
  </si>
  <si>
    <t>CASING, PUMP; APPLICATION: GROUND WATER CIRCULATION WELL</t>
  </si>
  <si>
    <t>DISC; DIMENSIONS: DN 80, MATERIAL: STAINLESS STEEL, MATERIAL GRADE: 2CR13, APPLICATION: HPN HEATER 2 SAFETY VALVE; EQUIP/TAG MODE: A48Y-40</t>
  </si>
  <si>
    <t>SEAL, OIL; TYPE: SPRING INSERTED, APPLICATION: BFP SPRING, OUTBOARD; DRAWING: JSG-FK5G32-00 (1/3), POS: 59, MANUFACTURER: SHANGAI, DRAWING: DG750-180-04-22</t>
  </si>
  <si>
    <t>SEAL; TYPE: LUB, MATERIAL: BRASS, APPLICATION: INBOARD BFP; DRAWING: JSG-FK5G32-00 (1/3), POS: 67, MANUFACTURER: SHANGAI, DRAWING: FK5G32-04-09</t>
  </si>
  <si>
    <t>SEAL, OIL; TYPE: SPRING, APPLICATION: BFP, INBOARD; DRAWING: JSG-FK5G32-00 (1/3), POS: 66, MANUFACTURER: SHANGAI, DRAWING: DG750-180-04-20</t>
  </si>
  <si>
    <t>SEAL, OIL; TYPE: LUBRICATING, MATERIAL: BRASS, APPLICATION: BFP, OUTBOARD; DRAWING: JSG-FK5G32-00 (1/3), POS: 60, MANUFACTURER: SHANGAI, DRAWING: DG750-180-04-23</t>
  </si>
  <si>
    <t>SEAT; VALVE; VALVE TYPE: GLOBE; VALVE SIZE: 100 MM; MATERIAL: STAINLESS STEEL ASTM A276 GR 420; OEM PART NO:  2-02250017-33; VENDOR:  HUDDERSFIELD VALVES LTD</t>
  </si>
  <si>
    <t>HOUSING, BEARING UNIT; TYPE: GROSS COMBINED WEIGHT; F/GCW PUMP</t>
  </si>
  <si>
    <t>GUIDE, VALVE; VALVE TYPE: DEAERATOR SAFETY, PRESSURE RATING: DN 150, MATERIAL GRADE: ZG2CR13; EQUIP/TAG MODE: A48Y-16C</t>
  </si>
  <si>
    <t>VALVE; RELIEF; APPLICATION: HYDRAULIC SYSTEM; VENDOR:  SHAOYANG HUNAN P.R.C. HYDRAULIC COPANY LTD CHINA; EQUIP/TAG MODE: XYZ-2500; MNFR: SHAOYANG HUNAN P.R.C. HYDRAULIC COPANY LTD CHINA</t>
  </si>
  <si>
    <t>VALVE, CHECK; APPLICATION: HYDRAULIC SYSTEM; VENDOR:  SHAOYANG HUNAN P.R.C. HYDRAULIC COMPANY LTD, CHINA, EQUIP/TAG MODE: XYZ-2500</t>
  </si>
  <si>
    <t>PUMP, ROTARY; TYPE: JACKING OIL, FLOW RATE: 25 L/MIN, PRESSURE RATING: 32 MPA, SPEED: 1500 RPM, APPLICATION: TURBINE; VENDOR:  SHANGHAI, MODEL/MACHINE NO:  25SCY14-1B</t>
  </si>
  <si>
    <t>RING; RETAINING; TYPE: LOCKING; MODEL/MACHINE NO:  44LBXA-23 SM; F/PUMP</t>
  </si>
  <si>
    <t>NOZZLE; TYPE: PRV, COMMERCIAL SIZE: DN 25, MATERIAL: STAINLESS STEEL, MATERIAL GRADE: 2CR13; MODEL/MACHINE NO:  A41H-320</t>
  </si>
  <si>
    <t>DISC; DIMENSIONS: DN 25, MATERIAL: STAINLESS STEEL, MATERIAL GRADE: 2CR13, APPLICATION: PRV; EQUIP/TAG MODE: A41H-320</t>
  </si>
  <si>
    <t>SPRING; MATERIAL: STEEL, MATERIAL GRADE: 50CRVA, INSIDE DIAMETER: DN 25; EQUIP/TAG MODE: MOC-50CrVA, EQUIP/TAG MODE: A41H-320; F/PRV</t>
  </si>
  <si>
    <t>STEM, VALVE; MATERIAL: STAINLESS STEEL, MATERIAL GRADE: 2CR13, APPLICATION: HP HEATER 1 SAFETY VALVE (DN 80); EQUIP/TAG MODE: A48Y-64</t>
  </si>
  <si>
    <t>STEM, VALVE; LENGTH: DN 25, MATERIAL: STAINLESS STEEL, MATERIAL GRADE: 2CR13, APPLICATION: PRV; EQUIP/TAG MODE: A41H-320</t>
  </si>
  <si>
    <t>VALVE, CHECK; MATERIAL SPECIFICATION: STAINLESS STEEL, MEDIA: OIL, TEMPERATURE RATING: 20-80 DEG C, APPLICATION: JOP NRV; EQUIP/TAG MODEL:  25SCY14-1B; DRAWING: D151.30.24-1/1E05, MANUFACTURER: SHANGAI</t>
  </si>
  <si>
    <t>VALVE, REGULATING, FLUID PRESSURE; SET PRESSURE: 15 MPA, OPERATED: MANUAL, BODY MATERIAL: SS, MEDIA: OIL, TEMPERATURE RATING: 20-80 DEG C, APPLICATION: JOP; EQUIP/TAG MODEL: 25SCY14-1B; DRAWING: D151.74.12E05BM, POS: 11, MANUFACTURER: SHANGHAI, DRAWING: D151.74.12(5)+11</t>
  </si>
  <si>
    <t>VALVE, GLOBE; TYPE: ANGLE, SIZE: 6 MM, PRESSURE RATING: 32 MPA, BODY MATERIAL: SS, MEDIA: OIL, TEMPERATURE RATING: 20-80 DEG C, APPLICATION: JOP; MODEL/MACHINE NO:  25SCY14-1B; DRAWING: D151.74.12E05BM, POS: 6, MANUFACTURER: SHANGAI, DRAWING: D151.74.12(5)+6</t>
  </si>
  <si>
    <t>VALVE, CHECK; PRESSURE RATING: 32 MPA, BODY MATERIAL: SS, MEDIA: OIL, TEMPERATURE RATING: 20-80 DEG C, APPLICATION: JOP; EQUIP/TAG MODEL: 25SCY14-1B; DRAWING: D151.74.12E05BM, POS: 19, MANUFACTURER: SHANGAI, DRAWING: D151.74.12(5)+19</t>
  </si>
  <si>
    <t>VALVE, GLOBE; TYPE: ANGLE, SIZE: 15 MM, PRESSURE RATING: 32 MPA, BODY MATERIAL: SS, MEDIA: OIL, TEMPERATURE RATING: 20-80 DEG C, APPLICATION: JOP; EQUIP/TAG MODEL:  25SCY14-1B; DRAWING: D151.74.12E05BM, POS: 13, MANUFACTURER: SHANGAI, DRAWING: D151.74.12(5)+12</t>
  </si>
  <si>
    <t>VALVE; RELIEF; TYPE: SAFETY; SIZE: DN 50; PRESSURE RATING: 1.6 MPA; APPLICATION: LP HEATER (4; 5); SET PRESSURE: 0.4-0.5 MPA; MEDIUM STEAM LIFT</t>
  </si>
  <si>
    <t>SEAL; RING; TYPE: CIRCULAR; MATERIAL: GRAPHITE; APPLICATION: FRS (30 PCT); OEM PART NO:  2-30150001-XX; VENDOR:  HUDDERSFIELD VALVES LTD; W/PLUG</t>
  </si>
  <si>
    <t>GLAND, PACKING; TYPE: STUFFING, APPLICATION: PUMP; EQUIP/TAG MODE: 44LBXA-23 SM</t>
  </si>
  <si>
    <t>VALVE; SOLENOID; TYPE: DOUBLE ACTING; PRESSURE RATING: 35 MPA; MEDIA: HYDRAULIC OIL; VOLTAGE RATING: 230 V AC; APPLICATION: BOTTOM SCRAP; OEM PART NO:  34BO-H6B-T; VENDOR:  DYNAMIC INSTRUMENTS &amp; ENGINEERING</t>
  </si>
  <si>
    <t>KEY; OEM PART NO:  DG750-180-03-22, OEM:  SPEM, CHINA, EQUIP/TAG MODEL: FK5G32, MANUFACTURER:  SPEM, CHINA</t>
  </si>
  <si>
    <t>NUT, HEXAGON; OEM PART NO:  FK5G32-03-11, OEM:  SPEM, CHINA, EQUIP/TAG MODEL:  FK5G32, MANUFACTURER:  SPEM, CHINA</t>
  </si>
  <si>
    <t>WASHER, LOCK; OEM PART NO:  DG750-180-03-23, OEM:  SPEM, CHINA, EQUIP/TAG MODEL:  FK5G32, MANUFACTURER:  SPEM, CHINA</t>
  </si>
  <si>
    <t>SEAL, RING; MATERIAL: CARBON STEEL HT250, APPLICATION: BFP BOOSTER PUMP; OEM PART NO:  QG500-80-411, OEM: SHANGHAI POWER EQUIPMENT MANUFACTURER CO LTD, CHINA, EQUIP/TAG MODEL:  QG500-80; DRAWING: JSG-QG500-80-00(1/3), POS: 411</t>
  </si>
  <si>
    <t>set</t>
  </si>
  <si>
    <t>LNK CHN TXMSN;PN:13987,E:GBL12BX14;RND</t>
  </si>
  <si>
    <t>VLV CNTRL;PN:110302010008,M:HY-JLF10.01Z</t>
  </si>
  <si>
    <t>VLV CHK;TRBN;D:JSG-H64Y-36C(L)T17-00A</t>
  </si>
  <si>
    <t>CSNG;LP DRIP PMP</t>
  </si>
  <si>
    <t>CPLG;PN:94354,E:GBL12BX14;CHN,26 X 92MM</t>
  </si>
  <si>
    <t>WHL;PN:GBLB26XT.0,E:GBL12B×14;REAR BTM</t>
  </si>
  <si>
    <t>SHFT;PN:GBL12B.15Z,M:GBL12B×14;TNSN BLCK</t>
  </si>
  <si>
    <t>SHFT ASSY;PN:GBL12B.5,E:GBL12B×14;FRNT</t>
  </si>
  <si>
    <t>CLTCH;FREE WHL;APH G/BX</t>
  </si>
  <si>
    <t>CSNG PMP;PN:QG500-80-102;BRRL,DRV END SD</t>
  </si>
  <si>
    <t>CSNG PMP;PN:QG500-80-103;BRRL,NON-DRV</t>
  </si>
  <si>
    <t>BRNG THRST;PN:DG750-180-06-00,E:FK5G32</t>
  </si>
  <si>
    <t>BRNG;PN:FK5G32-04-12,BFP FK5G32;JRNL</t>
  </si>
  <si>
    <t>ROLR;PN:GBL12B.19,E:GBL12B×14;GDE RLLR</t>
  </si>
  <si>
    <t>IMPLR PMP;M:150NW55-190;SECOND STG;F</t>
  </si>
  <si>
    <t>IMPLR PMP;M:150NW55-190;FRST STG;F/DRIP</t>
  </si>
  <si>
    <t>IMPLR PMP;335MM;SS;316;ICW</t>
  </si>
  <si>
    <t>SHFT PMP;150NW55-190;F/DRIP PUMP (FLOW</t>
  </si>
  <si>
    <t>SEAL RNG;M:44LBXA-23;CAST IRON GR H200</t>
  </si>
  <si>
    <t>VLV RLF;PN:AGMZO-REB-P-NP-10/350/I 10</t>
  </si>
  <si>
    <t>BLDR ACCUMLTR;HYD SYS</t>
  </si>
  <si>
    <t>BRNG SLV;PN:QG500-80-403/404;NDE,JRNL</t>
  </si>
  <si>
    <t>BRNG SLV;PN:QG500-80-503/504;BOOSTR PMP</t>
  </si>
  <si>
    <t>PLUG;PN:2-01250010-33;AS,420,ASTM  A276</t>
  </si>
  <si>
    <t>PMP RTRY;M:XYZ-2500;M:CBWMB-F4.0L-ALP</t>
  </si>
  <si>
    <t>PMP RTRY;M:NPSH 1.8 M;M:150NW55-190</t>
  </si>
  <si>
    <t>SLV;PN:7LDTNB-6PJS-0006 (YD);MIDDL;SHFT</t>
  </si>
  <si>
    <t>RNG WEAR;PN:QG500-80-105;SS,3CR13,BFP</t>
  </si>
  <si>
    <t>STEM VLV;PN:2-04250010-33;HP SPRY CNTRL</t>
  </si>
  <si>
    <t>BX STFG;PMP;44LBXA-23 SM</t>
  </si>
  <si>
    <t>NOZL;M:A48Y-16C;DRTR SFTY VLV,DN150,SS</t>
  </si>
  <si>
    <t>IMPLR PMP;F/GROUNDWATER CIRCULATION WELL</t>
  </si>
  <si>
    <t>KIT ACTTR REPR;11AI</t>
  </si>
  <si>
    <t>VLV;M:ADR-15,ZGM 133G;HYDR,COAL MLL</t>
  </si>
  <si>
    <t>DISC;A48Y-16C;DRTR SAFETY VLV;DN150;SS</t>
  </si>
  <si>
    <t>CLLR;PN:DG750-180-03-21,E:FK5G32</t>
  </si>
  <si>
    <t>CVR BRNG;PN:FK5G32-05-02,E:FK5G32</t>
  </si>
  <si>
    <t>VLV CNTRL;FLW;HYD SYS</t>
  </si>
  <si>
    <t>VLV CHK;PN:B152.33.01.04;NON RTRN;D151</t>
  </si>
  <si>
    <t>VLV CHK;PN:A156.33.01.13;NON RTRN;D151</t>
  </si>
  <si>
    <t>DISC;SS,2CR13;HP HEATER1 SAFETY VLV</t>
  </si>
  <si>
    <t>VLV CHK;PILT;HYD SYS</t>
  </si>
  <si>
    <t>CSNG PMP;GRND WTR CRCLTN WLL</t>
  </si>
  <si>
    <t>DISC;DN80,SS,2CR13,HPN HTR 2 SFTY VLV</t>
  </si>
  <si>
    <t>SEAL OIL;SPG INSRTD,BFP SPG,O/B;D:JSG</t>
  </si>
  <si>
    <t>SEAL;LUB,BRS,I/B BFP;D:JSG-FK5G32-00 (1</t>
  </si>
  <si>
    <t>SEAL OIL;SPG,BFP,I/B;D:JSG-FK5G32-00 (1</t>
  </si>
  <si>
    <t>SEAL OIL;LBRCTNG,BRS,BFP,O/B;D:JSG</t>
  </si>
  <si>
    <t>SEAT VLV;PN:2-02250017-33;GLB;100MM;SS</t>
  </si>
  <si>
    <t>HSG BRNG UNIT;GRSS CMBND WGHT;F/GCW PUMP</t>
  </si>
  <si>
    <t>GDE VLV;DRTR SFTY;DN150;ZG2CR13</t>
  </si>
  <si>
    <t>VLV RLF;XYZ-2500;HYD SYS</t>
  </si>
  <si>
    <t>VLV CHK;HYD SYS</t>
  </si>
  <si>
    <t>PMP RTRY;M:25SCY14-1B;JCKNG OIL,25L/MIN</t>
  </si>
  <si>
    <t>RNG RTNG;M:44LBXA-23 SM;LKG;F/PUMP</t>
  </si>
  <si>
    <t>NOZL;M:A41H-320;PRV,DN25,SS,2CR13</t>
  </si>
  <si>
    <t>DISC;DN25,SS,2CR13,PRV</t>
  </si>
  <si>
    <t>SPG;STL,50CRVA,DN25;F/PRV</t>
  </si>
  <si>
    <t>STEM VLV;SS,2CR13,HP HEATER 1 SAFETY</t>
  </si>
  <si>
    <t>STEM VLV;DN25,SS,2CR13,PRV</t>
  </si>
  <si>
    <t>VLV CHK;SS,OIL,20-80DEG C,JOP NRV;D:D151</t>
  </si>
  <si>
    <t>VLV RGL FLD PRS;15MPA,MNL,SS,OIL,20</t>
  </si>
  <si>
    <t>VLV GLB;ANGL,6MM,32MPA,SS,OIL,20-80DEG C</t>
  </si>
  <si>
    <t>VLV CHK;32MPA,SS,OIL,20-80DEG C,JOP;D</t>
  </si>
  <si>
    <t>VLV GLB;ANGL,15MM,32MPA,SS,OIL,20-80DEG</t>
  </si>
  <si>
    <t>VLV RLF;SFTY;DN50;1.6MPA;LP HTR(4;5);SET</t>
  </si>
  <si>
    <t>SEAL RNG;PN:2-30150001-XX;CRCLR;GRPHT</t>
  </si>
  <si>
    <t>GLND PCKNG;STFFNG;PMP</t>
  </si>
  <si>
    <t>VLV SLND;PN:34BO-H6B-T;DBL ACTNG;35MPA</t>
  </si>
  <si>
    <t>KEY;PN:DG750-180-03-22,E:FK5G32</t>
  </si>
  <si>
    <t>NUT HEX;PN:FK5G32-03-11,E:FK5G32</t>
  </si>
  <si>
    <t>WSHR LCK;PN:DG750-180-03-23,E:FK5G32</t>
  </si>
  <si>
    <t>SEAL RNG;PN:QG500-80-411;C STL HT250,BFP</t>
  </si>
  <si>
    <t>Mtr</t>
  </si>
  <si>
    <t>MEL391214100207</t>
  </si>
  <si>
    <t>BLCK TRMNL;PN:42P35/7</t>
  </si>
  <si>
    <t>MIA321310200248</t>
  </si>
  <si>
    <t>CRD ELECTRNC;PN:SND-KZQ-ZD1.2;ACTTR</t>
  </si>
  <si>
    <t>CARD, ELECTRONIC; APPLICATION: ACTUATOR, PROGRAM VERSION; OEM PART NO:  SND-KZQ-ZD1.2, VENDOR:  SCHNEIDER ELECTRIC, EQUIP/TAG MODE: 1.6700F40</t>
  </si>
  <si>
    <t>MIA321310200249</t>
  </si>
  <si>
    <t>CRD ELECTRNC;PN:SND-KZQ-ZD3.4;PHASE</t>
  </si>
  <si>
    <t>CARD, ELECTRONIC; TYPE: PHASE SEQUENCE MICRO CONTROLLER, FUNCTION: ACTUATOR (PROGRAMED VERSION), VOLTAGE RATING: 415 V AC, CURRENT RATING: 13.3 A, LENGTH: 220 MM; MANUFACTURER PART NO:  SND-KZQ-ZD3.4, VENDOR:  CHANGZHOU SCHNEIDER ACTUATOR, EQUIP/TAG MODE: 1.6700F40</t>
  </si>
  <si>
    <t>MIA321310200250</t>
  </si>
  <si>
    <t>CRD ELECTRNC;PN:TP400-PLC-1207;MICRO</t>
  </si>
  <si>
    <t>CARD, ELECTRONIC; TYPE: MICRO CONTROLLER, FUNCTION: ACTUATOR (PROGRAMED VERSION), VOLTAGE RATING: 24 V DC, CURRENT RATING: 0.125 A; OEM PART NO:  TP400-PLC-1207, VENDOR:  CHANGZHOU SCHNEIDER ACTUATOR, EQUIP/TAG MODE: 1.6700</t>
  </si>
  <si>
    <t>MIA314119000517</t>
  </si>
  <si>
    <t>ASSY;PN:SND-Z60-24S;CMPLT ELEC;LOGIC</t>
  </si>
  <si>
    <t>ASSEMBLY; TYPE: COMPLETE ELECTRONIC; OEM PART NO:  SND-Z60-24S, VENDOR:  SCHNEIDER ELECTRIC; LOGIC BOARD, LCD, POWER SUPPLY BOARD</t>
  </si>
  <si>
    <t>MIA314119000512</t>
  </si>
  <si>
    <t>ASSY;PN:SND-Z90-24S;CMPLT ELEC;LOGIC</t>
  </si>
  <si>
    <t>ASSEMBLY; TYPE: COMPLETE ELECTRONIC; OEM PART NO:  SND-Z90-24S, VENDOR:  SCHNEIDER ELECTRIC; LOGIC BOARD, LCD, POWER SUPPLY BOARD</t>
  </si>
  <si>
    <t>MIA314119000516</t>
  </si>
  <si>
    <t>ASSY;PN:SND-Z120-24S;CMPLT ELEC;ASSMEBLY</t>
  </si>
  <si>
    <t>ASSEMBLY; TYPE: COMPLETE ELECTRONIC; OEM PART NO:  SND-Z120-24S, VENDOR:  SCHNEIDER ELECTRIC; ASSMEBLY (LOGIC BOARD, LCD, POWER SUPPLY BOARD)</t>
  </si>
  <si>
    <t>MIA314119000510</t>
  </si>
  <si>
    <t>ASSY;PN:SND-Z30-24S;CMPLT ELEC;LOGIC</t>
  </si>
  <si>
    <t>ASSEMBLY; TYPE: COMPLETE ELECTRONIC; OEM PART NO:  SND-Z30-24S, VENDOR:  SCHNEIDER ELECTRIC; LOGIC BOARD, LCD, POWER SUPPLY BOARD</t>
  </si>
  <si>
    <t>MIA314119000511</t>
  </si>
  <si>
    <t>ASSY;PN:SND-Z45-24S;CMPLT ELEC;LOGIC</t>
  </si>
  <si>
    <t>ASSEMBLY; TYPE: COMPLETE ELECTRONIC; OEM PART NO:  SND-Z45-24S, VENDOR:  SCHNEIDER ELECTRIC; LOGIC BOARD, LCD, POWER SUPPLY BOARD</t>
  </si>
  <si>
    <t>MIA314119000508</t>
  </si>
  <si>
    <t>ASSY;PN:SND-Z20-24S;CMPLT ELEC;W/LOGIC</t>
  </si>
  <si>
    <t>ASSEMBLY; TYPE: COMPLETE ELECTRONIC; OEM PART NO:  SND-Z20-24S, VENDOR:  SCHNEIDER; W/LOGIC BOARD, LCD, POWER SUPPLY BOARD</t>
  </si>
  <si>
    <t>MIA321310200251</t>
  </si>
  <si>
    <t>CRD ELECTRNC;PN:TP400-D-3;DSPLY CNTRL</t>
  </si>
  <si>
    <t>CARD, ELECTRONIC; TYPE: DISPLAY CONTROL, FUNCTION: ACTUATOR (PROGRAMED VERSION), VOLTAGE RATING: 24 V DC, CURRENT RATING: 0.125 A; MANUFACTURER PART NO:  TP400-D-3, VENDOR:  CHANGZHOU SCHNEIDER ACTUATOR</t>
  </si>
  <si>
    <t>MPM231534020675</t>
  </si>
  <si>
    <t>ASSY;PN:ZD4J-08-00A(L);HNDWHL,SND ACTTR</t>
  </si>
  <si>
    <t>ASSEMBLY; TYPE: HANDWHEEL, APPLICATION: SND ACTUATOR; MANUFACTURER PART NO: ZD4J-08-00A(L), MANUFACTURER: SCHNEIDER, EQUIP/TAG MODEL: SNDZ90- 24 S</t>
  </si>
  <si>
    <t>EA</t>
  </si>
  <si>
    <t>MIA312515010617</t>
  </si>
  <si>
    <t>YOKE;PN:ZD4J-08-00A(YZ60);SND ACTTR</t>
  </si>
  <si>
    <t>YOKE; APPLICATION: SND ACTUATOR; MANUFACTURER PART NO: ZD4J-08-00A(YZ60), MANUFACTURER: SCHNEIDER, EQUIP/TAG MODEL: SND-Z60; ASSEMBLY</t>
  </si>
  <si>
    <t>MIA312515010618</t>
  </si>
  <si>
    <t>YOKE;PN:ZD4J-08-00A(YZ120);SND ACTTR</t>
  </si>
  <si>
    <t>YOKE; APPLICATION: SND ACTUATOR; MANUFACTURER PART NO: ZD4J-08-00A(YZ120), MANUFACTURER: SCHNEIDER, EQUIP/TAG MODEL: SND-Z120</t>
  </si>
  <si>
    <t>MIA312515010616</t>
  </si>
  <si>
    <t>YOKE;PN:ZD4J-08-00A(YZ10);SND ACTTR</t>
  </si>
  <si>
    <t>YOKE; APPLICATION: SND ACTUATOR; MANUFACTURER PART NO: ZD4J-08-00A(YZ10), MANUFACTURER: SCHNEIDER, EQUIP/TAG MODEL: SND-Z10; ASSEMBLY</t>
  </si>
  <si>
    <t>BLOCK, TERMINAL; OEM PART NO:  42P35/7, VENDOR:  SCHNEIDER ELECTRIC
Male+Female Assembly</t>
  </si>
  <si>
    <t>GST as extra as applicable as per HSN.8501</t>
  </si>
  <si>
    <t xml:space="preserve">1660
Model JFD-95II </t>
  </si>
  <si>
    <t>CASING</t>
  </si>
  <si>
    <t>IMPELLER - SECOND STAGE</t>
  </si>
  <si>
    <t>IMPELLER - FIRST STAGE</t>
  </si>
  <si>
    <t>IMPELLER</t>
  </si>
  <si>
    <t>SHAFT</t>
  </si>
  <si>
    <t>Sealing Ring</t>
  </si>
  <si>
    <t>RELIEF VLV</t>
  </si>
  <si>
    <t>BLADDER</t>
  </si>
  <si>
    <t>PUMP</t>
  </si>
  <si>
    <t>COMPLETE PUMP</t>
  </si>
  <si>
    <t>STUFFING Box</t>
  </si>
  <si>
    <t>NOZZLE</t>
  </si>
  <si>
    <t>DISC</t>
  </si>
  <si>
    <t>FLOW CONTROL VALVE</t>
  </si>
  <si>
    <t>CHECK VALVE</t>
  </si>
  <si>
    <t>GUIDE</t>
  </si>
  <si>
    <t>RELIEF VALVE</t>
  </si>
  <si>
    <t>RETAINING RING</t>
  </si>
  <si>
    <t>SPRING</t>
  </si>
  <si>
    <t>STEM</t>
  </si>
  <si>
    <t>GLAND PACKING</t>
  </si>
  <si>
    <t>MMT311715191602</t>
  </si>
  <si>
    <t>HSG BRNG UNIT;SPLT,CI;D:1677-1,8</t>
  </si>
  <si>
    <t>HOUSING, BEARING UNIT; TYPE: SPLIT, MATERIAL: CAST IRON; MODEL/MACHINE NO:  Y190-A, EQUIP/TAG MODEL:  2118/945; DRAWING: 1677-1,</t>
  </si>
  <si>
    <t>MMT311715191606</t>
  </si>
  <si>
    <t>HSG BRNG UNIT;PN:GXTA160.02-1;SPLT,CI;D</t>
  </si>
  <si>
    <t>HOUSING, BEARING UNIT; TYPE: SPLIT, MATERIAL: CAST IRON; OEM PART NO: GXTA160.02-1, OEM:  SHANGHAI BOILER WORKS CO, LTD.; DRAWIN</t>
  </si>
  <si>
    <t>Satyam</t>
  </si>
  <si>
    <t>MGE261318000028</t>
  </si>
  <si>
    <t>COMPENSATOR</t>
  </si>
  <si>
    <t>COMPENSATOR; TYPE: PRESSURE; APPLICATION: CONTROL PUMP; VENDOR:  EATON-VICKERS; MODEL/MACHINE NO:  CEPVH074R01AB10A250000002001AB010; SERIAL: 22006IA1 5023 ; EQUIP/TAG MODE: PVH074</t>
  </si>
  <si>
    <t>MAC401416061908</t>
  </si>
  <si>
    <t>PRV</t>
  </si>
  <si>
    <t>VALVE, RELIEF; TYPE: PRESSURE</t>
  </si>
  <si>
    <t>MPA101416020002</t>
  </si>
  <si>
    <t>YOKE</t>
  </si>
  <si>
    <t>YOKE; OEM PART NO:  526651, OEM:  EATON-VICKERS, EQUIP/TAG MODEL: PVH074R01AB10A250000002001AE010A; F/EH OIL PUMP</t>
  </si>
  <si>
    <t>MAC401017040105</t>
  </si>
  <si>
    <t>CONDENSER; TYPE: WATER COOLED, CONNECTION TYPE: FLANGED, APPLICATION: SWAS CHILLER; DRAWING: LSS-6/L, POS: 2, MANUFACTURER: SHANGAI</t>
  </si>
  <si>
    <t>MAC401416120139</t>
  </si>
  <si>
    <t>VALVE, EXPANSION; TYPE: THERMAL, PRESSURE RATING: 2.2 MPA, CONNECTION TYPE: SOCKET WELD, APPLICATION: SWAS CHILLER; DRAWING: LSS-6/L, POS: 7, MANUFACTURER: SHANGAI</t>
  </si>
  <si>
    <t>MAC401517300127</t>
  </si>
  <si>
    <t>IMPELLER, PUMP; DIAMETER: 357 MM, MATERIAL: CAST IRON HT 200, SHAFT DIAMETER: 77.8 MM; OEM PART NO: 250WFB-AD16(GAD), VENDOR:  SHANGHAI LIANCHENG ELECTRICAL MACHINERY CO LTD; F/SELF SUCTION PUMP</t>
  </si>
  <si>
    <t>MAC401016010336</t>
  </si>
  <si>
    <t>BLOWER</t>
  </si>
  <si>
    <t>BLOWER; TYPE: (3)-LOBE ROTARY AIR, AIR FLOW CAPACITY: 30.54 M3/MIN, DIAMETER: BORE: 200A, MOUNTING METHOD: SURFACE, SPEED: 1400 RPM; MODEL/MACHINE NO: SSR-175; SHAFT DIAMETER: 66 MM, BODY MATERIAL: CAST IRON GR FC 200, OPERATING TEMPERATURE: 100 DEG C, FOR FIBER FILTER SYSTEM</t>
  </si>
  <si>
    <t>MAC401517281057</t>
  </si>
  <si>
    <t>SLEEVE; MATERIAL: STAINLESS STEEL, APPLICATION: SHAFT, SLURRY PUMP, MATERIAL GRADE: 316; W/PROVISION F/O RING</t>
  </si>
  <si>
    <t>Nos</t>
  </si>
  <si>
    <t>CONDENSER</t>
  </si>
  <si>
    <t>EXPANSION VALVE</t>
  </si>
  <si>
    <t>SHAFT SLEEVE</t>
  </si>
  <si>
    <t>IMPELLER- Stage 1</t>
  </si>
  <si>
    <t>IMPELLER- Stage 2</t>
  </si>
  <si>
    <t>Daniel</t>
  </si>
  <si>
    <t>Self</t>
  </si>
  <si>
    <t>MGE261011140199</t>
  </si>
  <si>
    <t>MOTOR ELEC;M:NADX86792;INDCTN,415(+/</t>
  </si>
  <si>
    <t>MOTOR, ELECTRIC; TYPE: INDUCTION, VOLTAGE RATING: 415 (+/- 10 PCT) V, CURRENT RATING: 225 A, POWER RATING: 132 KW, SPEED: 1490 RPM, FRAME: ND315M, PHASE QUANTITY: 3PH; MODEL/MACHINE NO:  NADX86792, VENDOR:  CROMPTON GREAVES LTD; WINDING TYPE: DELTA, W/BEARING (P/N: 6319)</t>
  </si>
  <si>
    <t>MGE261011000542</t>
  </si>
  <si>
    <t>MOTOR ELEC;DC,SHNT,220V DC,40.8A,7.5KW</t>
  </si>
  <si>
    <t>MOTOR, ELECTRIC; TYPE: DC, SHUNT, VOLTAGE RATING: 220 V DC, CURRENT RATING: 40.8 A, POWER RATING: 7.5 KW, POWER SUPPLY: 220 V DC, SPEED: 3000 R/MIN, SHAFT DIAMETER: 28 MM, FRAME: 42L3, ELECTRICAL POLE QUANTITY: 4P, INSULATION CLASS: F, DUTY RATING: S1, MOUNTING METHOD: VERTICAL FLANGE, PHASE QUANTITY: 2, TEMPERATURE RATING: 50 DEG C, ENCLOSURE RATING: IP22, APPLICATION: EOP OF TDBFP, STANDARD: DC MOTOR ISO9001; MODEL/MACHINE NO: Z2-42 L3 TH</t>
  </si>
  <si>
    <t>MMT311715240176</t>
  </si>
  <si>
    <t>CAP GRSE;PN:2161230-DE/OS-BRG CVR;ID FAN</t>
  </si>
  <si>
    <t>CAP, GREASE; TYPE: ID FAN MOTOR ROTOR, MATERIAL: METALLIC STEEL; OEM PART NO:  2161230-DE/OS-BRG CVR, OEM:  CG; FOR ID FAN MOTOR ROTOR</t>
  </si>
  <si>
    <t>MAC401515090081</t>
  </si>
  <si>
    <t>PMP RCPRTG;PN:6BP 40-3/0.75V;OIL,40M3/H</t>
  </si>
  <si>
    <t>PUMP, RECIPROCATING; TYPE: OIL, FLOW RATE: 40 M3/H, DRIVER: MOTOR (POTENTIAL: 380-420 V, 50 HZ); OEM PART NO:  6BP 40-3/0.75V, VENDOR: CHINESE</t>
  </si>
  <si>
    <t>MGE261011141224</t>
  </si>
  <si>
    <t>MOTOR ELEC;INDCTN,415V AC,19.9A,11KW</t>
  </si>
  <si>
    <t>MOTOR, ELECTRIC; TYPE: INDUCTION, VOLTAGE RATING: 415 V AC, CURRENT RATING: 19.9 A, POWER RATING: 11 KW, POWER SUPPLY: 415 V AC, SPEED: 2930 RPM, SHAFT DIAMETER: 45 MM, FRAME: Y2-160M1-2, ELECTRICAL POLE QUANTITY: 3P, INSULATION CLASS: F, DUTY RATING: S1, MOUNTING METHOD: B3 (FOOT), PHASE QUANTITY: 3, FREQUENCY: 50 HZ, APPLICATION: BEARING COOLING FAN; VENDOR:  HONG FENG MOTOR FACTORY</t>
  </si>
  <si>
    <t>MGE261011121041</t>
  </si>
  <si>
    <t>MOTOR ELEC;PN:SYN 1102;AC,SYNCH,240V</t>
  </si>
  <si>
    <t>MOTOR, ELECTRIC; TYPE: AC, SYNCHRONOUS, VOLTAGE RATING: 240 V, CURRENT RATING: 600 MA, POWER SUPPLY: AC, SPEED: 60 RPM, PHASE QUANTITY: 1; SUPPLIER PART NO:  SYN 1102; MAKE-SRIJAN CONTROL DRIVES PVT. LTD. PUNE</t>
  </si>
  <si>
    <t>MGE261011060009</t>
  </si>
  <si>
    <t>MOTOR ELEC;3 PH INDCTN,415V,1A,0.25KW,3</t>
  </si>
  <si>
    <t>MOTOR, ELECTRIC; TYPE: 3 PHASE INDUCTION, VOLTAGE RATING: 415 V, CURRENT RATING: 1 A, POWER RATING: 0.25 KW, POWER SUPPLY: 3 PHASE AC, SPEED: 720 RPM, FRAME: DBF2-5Q8, ELECTRICAL POLE QUANTITY: 8, INSULATION CLASS: F, DUTY RATING: S1, PHASE QUANTITY: 3, ENCLOSURE RATING: IP 54, APPLICATION: TRANSFORMER COOLING FAN; TYPE-DBF2-5Q8.TRANSFORMER COOLING FAN.STD-JB/T9642-1999,18 KGS,XIANSING AEROSPACE SCIENCE TECHNOLOGY INDUSTRY COMPANY</t>
  </si>
  <si>
    <t>2</t>
  </si>
  <si>
    <t>1</t>
  </si>
  <si>
    <t>MGE261011000344</t>
  </si>
  <si>
    <t>MTR;IY2-450-4,THR PHSE INDCTN MTOR,350KW</t>
  </si>
  <si>
    <t>MOTOR; TYPE: IY2-450-4,THREE PHASE INDUCTION MOTOR, POWER RATING: 350KW, VOLTAGE RATING: 11KV, CURRENT RATING: 23.1A, FRAME: 450, SPEED: 1485RPM, INSULATION CLASS: F, ENCLOSURE RATING: IP55, CONNECTION TYPE: Y, APPLICATION: MOTOR-COMP, SPECIFICATION: 50HZ,TIME RATING;CONT,MAX AMB:46C,BRGS.P.E=NU328C3,O.P.E=6328C3,CCN;19026657,S/N:52610407S,WEIGHT:-3650KG,S.F.A=26.5,EFF(100%FL):93.85%,EFF(75%FL):91.8,SERVICE FACTOR=1.15,COS@=0.85,MAKE-INGERSOLL RAND</t>
  </si>
  <si>
    <t>MLB411119430022</t>
  </si>
  <si>
    <t>SNSR CNDCTVY;THRML,0-50 MCRO S/CM,1/2"</t>
  </si>
  <si>
    <t>SENSOR, CONDUCTIVITY; TYPE: THERMAL, MEASUREMENT RANGE: 0-50 MICRO S/CM, CONNECTION SIZE: 1/2 ", CONNECTION TYPE: NATIONAL PIPE THREADED, CELL CONSTANT: 0.1, PRESSURE RATING: 37 IN HG, TEMPERATURE RATING: -10 TO 50 DEG C</t>
  </si>
  <si>
    <t>MEL391215210501</t>
  </si>
  <si>
    <t>STRTR ELEC MOTOR;PN:ATS48C41Y;SFT STRTR</t>
  </si>
  <si>
    <t>STARTER, ELECTRIC MOTOR; TYPE: SOFT STARTER, VOLTAGE RATING: 430 V AC, CURRENT RATING: 410 A AC, POWER RATING: 220-250 KW, COIL VOLTAGE: 230-415 V AC, ELECTRICAL POLE QUANTITY: 3P, MOUNTING METHOD: PANEL MOUNTED; MANUFACTURER PART NO:  ATS48C41Y, MANUFACTURER:  SCHNEIDER; FOR FURNACE TENDING ASSEMBLY PANEL</t>
  </si>
  <si>
    <t>MGE261011000209</t>
  </si>
  <si>
    <t>MOTOR ELEC;PN:0/510112;INDCTN,SQRRL CAGE</t>
  </si>
  <si>
    <t>MOTOR, ELECTRIC; TYPE: INDUCTION, SQUIRREL CAGE, VOLTAGE RATING: 415 V, CURRENT RATING: 26.6 A, POWER RATING: 15 KW, POWER SUPPLY: 415 V, SPEED: 2930 RPM, SHAFT DIAMETER: 42 MM, FRAME: Y2-160M2-2TH, ELECTRICAL POLE QUANTITY: 2P, INSULATION CLASS: F, DUTY RATING: S1, MOUNTING METHOD: FOOT, PHASE QUANTITY: 3PH, DIRECTION OF ROTATION: BI-DIRECTIONAL, APPLICATION: GLAND STEAM CONDENSER EXHAUST FAN; MANUFACTURER PART NO:  0/510112, MANUFACTURER:  WANNAN ELECTRICAL MACHINE CO. LTD</t>
  </si>
  <si>
    <t>MGE261011142939</t>
  </si>
  <si>
    <t>MOTOR ELEC;3 PH INDCTN,415V,9A,3KW,3</t>
  </si>
  <si>
    <t>MOTOR, ELECTRIC; TYPE: 3 PHASE INDUCTION, VOLTAGE RATING: 415 V, CURRENT RATING: 9 A, POWER RATING: 3 KW, POWER SUPPLY: 3 PHASE AC, SPEED: 1330 RPM, FRAME: Y DT-DT, ELECTRICAL POLE QUANTITY: 4, INSULATION CLASS: F, DUTY RATING: S2, PHASE QUANTITY: 3, ENCLOSURE RATING: IP54; MAKE-HULAN VALVE MOTOR PLANT, THE PEOPLES REPUBLIC OF CHINA.STANDARD-JB/T2T95-998,WEIGHT-33KGS</t>
  </si>
  <si>
    <t>MGE261011142938</t>
  </si>
  <si>
    <t>MOTOR ELEC;3 PH INDCTN,415V,36A,15KW,3</t>
  </si>
  <si>
    <t>MOTOR, ELECTRIC; TYPE: 3 PHASE INDUCTION, VOLTAGE RATING: 415 V, CURRENT RATING: 36 A, POWER RATING: 15 KW, POWER SUPPLY: 3 PHASE AC, SPEED: 420 RPM, FRAME: YB2-225M-12V3, ELECTRICAL POLE QUANTITY: 12, INSULATION CLASS: F, DUTY RATING: S1, PHASE QUANTITY: 3; EX-MARKETING-EXDIIBT4,STD.NO-JB/T7565-2004, WORK MODE-S1,NO-220,NO OF EX-CERTIFICATE-CNEX05.386 ,2008  MAKE- SHANGHAI PINXING EXPLOSION PROOFMOTOR CO .LTD  .           3 PHASE FLAMEPROOF INDUCTION MOTOR</t>
  </si>
  <si>
    <t>MGE261011141333</t>
  </si>
  <si>
    <t>MOTOR ELEC;SQRRL CGE INDCTN,ALTRNTNG</t>
  </si>
  <si>
    <t>MOTOR, ELECTRIC; TYPE: SQUIRREL CAGE INDUCTION, ALTERNATING CURRENT, VOLTAGE RATING: 415 V AC, CURRENT RATING: 30 A, POWER RATING: 15 KW, POWER SUPPLY: 415 V AC, SPEED: 1465 RPM, SHAFT DIAMETER: 42 MM, FRAME: 160L, ELECTRICAL POLE QUANTITY: 4P, INSULATION CLASS: F, DUTY RATING: S1, MOUNTING METHOD: VERTICAL FLANGED, PHASE QUANTITY: 3PH, FREQUENCY: 50 HZ; EFFICIENCY: 86 PCT</t>
  </si>
  <si>
    <t>MGE261011143369</t>
  </si>
  <si>
    <t>MTR;3PHSE ASYNCHRNS,11KW,415 V,415V,19</t>
  </si>
  <si>
    <t>MOTOR; TYPE: 3PHASE ASYNCHRONOUS, POWER RATING: 11 KW, POWER SUPPLY: 415 V, VOLTAGE RATING: 415 V, CURRENT RATING: 19.8 A, FRAME: Y2-160M1-2, SPEED: 2940 R/MIN, DIRECTION OF ROTATION: CLOCKWISE, APPLICATION: REGULAR WASTE WATER PUMP MOTOR</t>
  </si>
  <si>
    <t>MGE261011070061</t>
  </si>
  <si>
    <t>MOTOR ELEC;PN:YB2-90L-4B35;AC;3.4A</t>
  </si>
  <si>
    <t>MOTOR, ELECTRIC; TYPE: ALTERNATING CURRENT, CURRENT RATING: 3.4 A, SPEED: 1400 RPM, APPLICATION: FIRE-RESISTANT OIL TRANSFER PUMP; MANUFACTURER PART NO:  YB2-90L-4B35, VENDOR:  CHONGQING SPECIAL ELECTRIC MOTOR FACTORY CO LTD</t>
  </si>
  <si>
    <t>MOTOR ELEC;SPG CHRG;220V DC;100HP;IP43</t>
  </si>
  <si>
    <t>6</t>
  </si>
  <si>
    <t>5</t>
  </si>
  <si>
    <t>MEL391216150016</t>
  </si>
  <si>
    <t>BRKR CRCT;PN:KFW2-1600;AIR; INTLLGNT</t>
  </si>
  <si>
    <t>BREAKER; CIRCUIT; TYPE: AIR; INTELLIGENT AND UNIVERSAL; CURRENT RATING: 1600 A; VOLTAGE RATING: 415 V; ELECTRICAL POLE QUANTITY: 4P; CONTACT ARRANGEMENT: 8NO-8NC; MANUFACTURER PART NO:  KFW2-1600; VENDOR:  KFINE; W/CLOSING COIL ;SHUNT COIL;SPRING CHARGER MOTOR;INTELLIGENTCONTROLLER FOR ALL 220VDC;TYPE :DRAW IN/OUT</t>
  </si>
  <si>
    <t>MAC401017010061</t>
  </si>
  <si>
    <t>AIRCON;O/D,5400M3/H,415V AC;COOLING</t>
  </si>
  <si>
    <t>AIR CONDITIONER; TYPE: OUTDOOR, AIR FLOW CAPACITY: 5400 M3/H, POWER SUPPLY: 415 V AC; EQUIP/TAG MODE: SW-(5X2) N, MNFR: SHENLING AIR-CONDITIONING EQUIPMENT CO LTD; COOLING CAPACITY 125000 BTU/HR</t>
  </si>
  <si>
    <t>MEL391216010198</t>
  </si>
  <si>
    <t>BRKR CRCT;PN:KFW2-1600/400 3P;1600/3P</t>
  </si>
  <si>
    <t>BREAKER; CIRCUIT; TYPE: UNIVERSAL AIR; CURRENT RATING: 1600/400 A; VOLTAGE RATING: 415 V; ELECTRICAL POLE QUANTITY: 3P; CONTACT ARRANGEMENT: 8NO-8NC; OEM PART NO:  KFW2-1600/400 3P; VENDOR:  KFINE; REFERENCE NO:  1600/3P; W/CLOSING COIL ;SHUNT COIL;SPRING CHARGERMOTOR INTELLIGENT CONTROLLER FOR ALL 220VDC;TYPE :DRAW IN/OUT</t>
  </si>
  <si>
    <t>MAC401016040436</t>
  </si>
  <si>
    <t>FAN ELEC;M:GFDD 650-200 TN;TXVRS FLW,73</t>
  </si>
  <si>
    <t>FAN, ELECTRIC; TYPE: TRANSVERSE FLOW, DIAMETER: 73.5 MM, SPEED: 960 RPM, VOLTAGE RATING: 240 V, POWER RATING: 150 W, INSULATION CLASS: F, AIR FLOW CAPACITY: 2500 M3/H; MODEL/MACHINE NO:  GFDD 650-200 TN; F/DRY-TYPE TRANSFORMER (SIZE: WD 250 X LG 605 X HT 250 MM)</t>
  </si>
  <si>
    <t>MEL391222280009</t>
  </si>
  <si>
    <t>SWTCH;VACUUM CIRCUIT BREAKER; SERVICE</t>
  </si>
  <si>
    <t>SWITCH; APPLICATION: VACUUM CIRCUIT BREAKER, SERVICE POSITION TRUCK OPERATED CELL; VENDOR:  TIANSHUI CHANGCHENG SWITCHGEAR FACTORY, CHINA, EQUIP/TAG MODE: ZN63A VS1 12 T</t>
  </si>
  <si>
    <t>MEL391222280010</t>
  </si>
  <si>
    <t>SWTCH;M:ZN63A(VS1)-12/T;TEST POSITION</t>
  </si>
  <si>
    <t>SWITCH; APPLICATION: TEST POSITION TRUCK OPETATED CELL, VACUUM CIRCUIT BREAKER; VENDOR:  TIANSHUI CHANGCHENG SWITCHGEAR FACTORY, CHINA, MODEL/MACHINE NO:  ZN63A(VS1)-12/T</t>
  </si>
  <si>
    <t>MEL391210020037</t>
  </si>
  <si>
    <t>TXFRMR;PN:WDZ-440EX;F/MANAGEMENT RELAY</t>
  </si>
  <si>
    <t>TRANSFORMER; MANUFACTURER PART NO:  WDZ-440EX; VENDOR:  WISCOM SYSTEM CO LTD; F/MANAGEMENT RELAY(VOLTAGE: 220 VDC; CURRENT: 5 A)</t>
  </si>
  <si>
    <t>"CHSSIS ELEC ELECTRNC EQUIP;PN:CHASSIS"</t>
  </si>
  <si>
    <t>"FAN ELEC;TXVRS FLW124MM1.5KRPM250V"</t>
  </si>
  <si>
    <t>TRLY;PN:CHASSIS, PART NO. CKDK-12;TLY</t>
  </si>
  <si>
    <t>MEL391215220125</t>
  </si>
  <si>
    <t>CONTCT AUX;VCB</t>
  </si>
  <si>
    <t>CONTACT, AUXILIARY; APPLICATION: VACUUM CIRCUIT BREAKER; VENDOR:  TIANSHUI CHANGCHENG SWITCHGEAR FACTORY, CHINA, EQUIP/TAG MODE: ZN63A(VS1)-12/T</t>
  </si>
  <si>
    <t>MEL391223310240</t>
  </si>
  <si>
    <t>RLY CNTRL;MTR MNGMNT;POWER BOARD (VOLT</t>
  </si>
  <si>
    <t>RELAY, CONTROL; APPLICATION: MOTOR MANAGEMENT; VENDOR:  WISCOM SYSTEM LTD, EQUIP/TAG MODE: WDZ-441EX; POWER BOARD (VOLT:+5V +24 VYTPE:EMWEX-300), I/O: MWEX-600, CPU BOARD:EMWEX-401, AI BOARD:EMWEX-7920</t>
  </si>
  <si>
    <t>MEL391215520076</t>
  </si>
  <si>
    <t>MODL;M:ST522B;INTELLIGENCE TYPE ELECTRIC</t>
  </si>
  <si>
    <t>MODULE; APPLICATION: INTELLIGENCE TYPE ELECTRIC MOTOR CONTROLLER; MODEL/MACHINE NO:  ST522B</t>
  </si>
  <si>
    <t>MHW311628000964</t>
  </si>
  <si>
    <t>COLCTR;FLUE GAS DUST</t>
  </si>
  <si>
    <t>COLLECTOR; TYPE: FLUE GAS DUST</t>
  </si>
  <si>
    <t>MAC401018510549</t>
  </si>
  <si>
    <t>HSG;IDCB-UE/OR/Y;IDCB BLR PNT HOUSE;DCB</t>
  </si>
  <si>
    <t>HOUSING; TYPE: IDCB BOILER PANT HOUSE; APPLICATION: DCB-4E/DRY INTELLIGENT DATA COLLECTION MEASURE CONTROL MODULE; SPECIAL FEATURES: DOUBLE NET REDUDANCY; SUPPLY:230VAC;20CHANNELS;; STANDARD: IDCB-UE/OR/Y; VENDOR:  MUXI HUADONG ELECTRIC POWER AUTOMATION INSTRUMENT COMPANY; REFERENCE NO:  IDCB-UE/OR/Y</t>
  </si>
  <si>
    <t>MIT432015420027</t>
  </si>
  <si>
    <t>CDU;PN:03.1.31;24 VDC +/- 5 PCT;440MA</t>
  </si>
  <si>
    <t>CONTROL-DISPLAY UNIT; VOLTAGE: 24 VDC +/- 5 PCT; CURRENT: 440 MA; APPLICATION: HUMAN MACHINE INTERFACE; VENDOR:  YCCH; MANUFACTURERPART NO:  03.1.31; VENDOR:  HMI; TEMPERATURE: 0: 45 DEGC</t>
  </si>
  <si>
    <t>MIT432015420040</t>
  </si>
  <si>
    <t>CDU;M:MT6056T1WV;24 (+/- 5 PCT)V DC</t>
  </si>
  <si>
    <t>CONTROL-DISPLAY UNIT; VOLTAGE: 24 (+/- 5 PCT) V DC; CURRENT: 370 MA; APPLICATION: TDBFP HUMAN MACHINE INTERFACE; VENDOR:  WEINTEK; MODEL/MACHINE NO:  MT6056T1WV; OPERATING TEMPETATURE: 0 TO 45 DEG C; MADE IN TAIWAN</t>
  </si>
  <si>
    <t>MIA321016250046</t>
  </si>
  <si>
    <t>CNTRLR;M:SCUO3;WIDTH;TDBFP</t>
  </si>
  <si>
    <t>CONTROLLER; TYPE: WIDTH; APPLICATION: TDBFP; MODEL/MACHINE NO:  SCUO3; VENDOR:  WINELEC</t>
  </si>
  <si>
    <t>MMT311715190143</t>
  </si>
  <si>
    <t>HSG BRNG UNIT;PN:23268 BK;HRZNTL SPLT</t>
  </si>
  <si>
    <t>HOUSING, BEARING UNIT; TYPE: HORIZONTAL SPLIT, PLUMMER BLOCK, BORE DIAMETER: 620 MM, BOLT MOUNTING: 2; MANUFACTURER PART NO:  23268 BK, EQUIP/TAG MODE: MGS4772; CENTRE TO CENTRE DISTANCE BETWEEN BOLTS: 250 MM, F/COAL MILL, PINION</t>
  </si>
  <si>
    <t>MHW311615010158</t>
  </si>
  <si>
    <t>SCRW CAP;M:HPT300-330IM-5S,JSGS-HPT300</t>
  </si>
  <si>
    <t>SCREW, CAP; OVERALL LENGTH: 75 MM, DIAMETER: M12, HEAD STYLE: SOCKET, MATERIAL GRADE: A4-70; VENDOR:  SPEM, CHINA, MODEL/MACHINE NO:  HPT300-330IM-5S, REFERENCE NO:  JSGS-HPT300-330IM-5S/33B-29-00(1/2); DRAWING: GB/T70.1-2000, POS: 419</t>
  </si>
  <si>
    <t>MEL391223310211</t>
  </si>
  <si>
    <t>RLY CNTRL;PN:WDZ-430EX;METER, PROTECTION</t>
  </si>
  <si>
    <t>RELAY, CONTROL; TYPE: METER, PROTECTION DEVICE, MOTOR MANAGEMENT, COIL VOLTAGE: 110/220 V DC, CONTACT RATING: 220 VDC, 5 A, APPLICATION: MOTOR MANAGEMENT; MANUFACTURER PART NO:  WDZ-430EX, VENDOR:  WISCOM SYSTEM CO LTD</t>
  </si>
  <si>
    <t>MAC401016040296</t>
  </si>
  <si>
    <t>FAN ELEC;PN:9-26-4.7;CLNG,SEAL AIR,515MM</t>
  </si>
  <si>
    <t>FAN, ELECTRIC; TYPE: COOLING, SEAL AIR, DIAMETER: 515 MM, SPEED: 2900 RPM, VOLTAGE RATING: 230 V, POWER RATING: 11 KW, AIR FLOW CAPACITY: 3880-5140 M3/H; OEM PART NO:  9-26-4.7, VENDOR: HANGZHOU YOHANG SPECIAL FAN FACTORY</t>
  </si>
  <si>
    <t>RLY CNTRL;PN:JZ-7Y-204BTH;PRTCTN,220V DC</t>
  </si>
  <si>
    <t>RELAY, CONTROL; TYPE: PROTECTION, COIL VOLTAGE: 220 V DC, CONTACT ARRANGEMENT: 2NO-4NC, CONTACT RATING: 10 A, LINE VOLTAGE: 220 V DC, TERMINAL TYPE: SCREW, MOUNTING METHOD: DIN RAIL/SURFACE; OEM PART NO:  JZ-7Y-204BTH, VENDOR:  HONTZSCH GHBM; DIMENSIONS: SQ 50 X 100 MM</t>
  </si>
  <si>
    <t>MEL391222170097</t>
  </si>
  <si>
    <t>SWTCH SLCTR;PN:CG4 IN1524 E;220V DC,10A</t>
  </si>
  <si>
    <t>SWITCH, SELECTOR; VOLTAGE RATING: 220 V DC, CURRENT RATING: 10 A, ELECTRICAL POLE QUANTITY: 6P, POSITION QUANTITY: (3) LOC-OFF-REM, OPERATED: BLACK G251 HANDLE; MANUFACTURER PART NO:  CG4 IN1524 E, VENDOR:  KRAUS &amp; NAIMER, CHINA; ESC PLATE(SIZE: 30 X 30 MM) ENGRAVED</t>
  </si>
  <si>
    <t>MEL391210100172</t>
  </si>
  <si>
    <t>COIL ELEC;PN:FTW45-2000;CLSNG,220V DC,2A</t>
  </si>
  <si>
    <t>COIL, ELECTRICAL; TYPE: CLOSING, VOLTAGE RATING: 220 V DC, CURRENT RATING: 2 A, APPLICATION: CIRCUIT BREAKER (CURRENT: 2.5 KA); OEM PART NO:  FTW45-2000, VENDOR:  KFINE, EQUIP/TAG MODE: KFW2-3200; RESISTANCE: 404 OHM</t>
  </si>
  <si>
    <t>MEL391210100171</t>
  </si>
  <si>
    <t>COIL ELEC;PN:BGW45-2000;KFW2-3200;TRP</t>
  </si>
  <si>
    <t>COIL; ELECTRICAL; TYPE: TRIP; VOLTAGE RATING: 220 V DC; CURRENT RATING: 10 A; OEM PART NO:  BGW45-2000; VENDOR:  KFINE; EQUIP/TAG MODE: KFW2-3200; RESISTANCE: 404 OHM</t>
  </si>
  <si>
    <t>MEL391214360013</t>
  </si>
  <si>
    <t>ELECTRD;PN:LYB-10B;WD2.225XLG3.2XTHK1M</t>
  </si>
  <si>
    <t>ELECTRODE; DIMENSIONS: WD 2.225 X LG 3.2 X THK 1 M, APPLICATION: SODIUM HYPO CHLORITE GENERATOR; MANUFACTURER PART NO:  LYB-10B, VENDOR:  WUHAN XINGDA HIGH TECHNOLOGY ENGINEERING CO. LTD; PRODUCTIVITY: 10 KG/HR, OPERATIONAL VOLTAGE: 64: 72 VDC, OPERATIONAL CURRENT: 720 A DC, CONCENTRATION OF BRINE: 1.4: 1.6 M3/H</t>
  </si>
  <si>
    <t>MEL391214360257</t>
  </si>
  <si>
    <t>ELECTRD;PT PLNT SNGL,DIA 256 X LG 1161MM</t>
  </si>
  <si>
    <t>ELECTRODE; TYPE: PT PLANT SINGLE, DIMENSIONS: DIA 256 X LG 1161 MM, MATERIAL: TITANIUM; DRAWING: ETG023-SESI-EMD-0527-R0; FLANGE (TOTAL DIA 340 X 295 MM) (24X 8 HOLES EQUIPMENT SPACED)</t>
  </si>
  <si>
    <t>4</t>
  </si>
  <si>
    <t>18</t>
  </si>
  <si>
    <t>20</t>
  </si>
  <si>
    <t>10</t>
  </si>
  <si>
    <t>24</t>
  </si>
  <si>
    <t>40</t>
  </si>
  <si>
    <t>MEL391223310271</t>
  </si>
  <si>
    <t>RLY CNTRL;PN:DGT801F;DIGITAL GENERATOR</t>
  </si>
  <si>
    <t>RELAY, CONTROL; APPLICATION: DIGITAL GENERATOR TRANFORMER PROTECTION; MANUFACTURER PART NO:  DGT801F</t>
  </si>
  <si>
    <t>MIA312515010109</t>
  </si>
  <si>
    <t>MIT432015420332</t>
  </si>
  <si>
    <t>MEL391223000024</t>
  </si>
  <si>
    <t>MEL391222130100</t>
  </si>
  <si>
    <t>MAC401016041343</t>
  </si>
  <si>
    <t>MEL391214060026</t>
  </si>
  <si>
    <t>MIA321310200206</t>
  </si>
  <si>
    <t>MEL391216340058</t>
  </si>
  <si>
    <t>MLB411124120153</t>
  </si>
  <si>
    <t>MEL391215000116</t>
  </si>
  <si>
    <t>MLB411122090014</t>
  </si>
  <si>
    <t>MAV521615230020</t>
  </si>
  <si>
    <t>MAV521615230019</t>
  </si>
  <si>
    <t>MEL391215000092</t>
  </si>
  <si>
    <t>MEL391215000049</t>
  </si>
  <si>
    <t>MGS131110230005</t>
  </si>
  <si>
    <t>MGS131110230004</t>
  </si>
  <si>
    <t>MTP251740010027</t>
  </si>
  <si>
    <t>MEL391215221868</t>
  </si>
  <si>
    <t>MEL391215221869</t>
  </si>
  <si>
    <t>MIA321216000523</t>
  </si>
  <si>
    <t>MLB411122220604</t>
  </si>
  <si>
    <t>8</t>
  </si>
  <si>
    <t>10,000</t>
  </si>
  <si>
    <t>3,000</t>
  </si>
  <si>
    <t>12</t>
  </si>
  <si>
    <t>100</t>
  </si>
  <si>
    <t>BRKR CRCT;PN:ZN63A(VS1)-12;HIGH VOLTAGE</t>
  </si>
  <si>
    <t>ACTTR ELEC;PN:11-159;RGLTNG,416V AC,80</t>
  </si>
  <si>
    <t>BRKR CRCT;M:KFW2-1600/1250A;AIR,1250A</t>
  </si>
  <si>
    <t>CNTRLR ELECTRNC;M:ST500H/IN250;220V;250A</t>
  </si>
  <si>
    <t>BRKR CRCT;M:KFW2-1600/400A;AIR,400A,415V</t>
  </si>
  <si>
    <t>BRKR CRCT;M:KFW2-1600/630A;AIR,630A,415V</t>
  </si>
  <si>
    <t>BRKR CRCT;M:KFW2-1600/800A;AIR,800A,415V</t>
  </si>
  <si>
    <t>DEVC;M:WDZ-431EX;DFFRNTL PRTCTN;MTR DIFF</t>
  </si>
  <si>
    <t>SWTCH LMT;ZN63A (VS1)-12/T;ACTTR SPG</t>
  </si>
  <si>
    <t>FAN ELEC;M:GFDD420-90;TXVRS FLW,155MM</t>
  </si>
  <si>
    <t>RCPTCL ELEC;PLUG;SCKT;F/VACUUM CIRCUIT</t>
  </si>
  <si>
    <t>CRD ELECTRNC;NE9814;SPD MNTRNG</t>
  </si>
  <si>
    <t>ARRSTR ELEC;PN:YH5WZ1-17/45X17/45;SRG</t>
  </si>
  <si>
    <t>GA PRESS;PN:01010118</t>
  </si>
  <si>
    <t>SHNT;75MV;100A;COMPLETE SET OF EQUIPMENT</t>
  </si>
  <si>
    <t>THRMST;10-60DEG C</t>
  </si>
  <si>
    <t>TXMTR;CRNT;4-20MA;0-75MIL V</t>
  </si>
  <si>
    <t>TXMTR;VLTG;4-20MADC;0-300V</t>
  </si>
  <si>
    <t>SHNT;75MIL V;500A;COMPLTE SET OF</t>
  </si>
  <si>
    <t>SHNT;75MIL V;200A</t>
  </si>
  <si>
    <t>RSIN;M:A500TLSO4PLUS,B:PUROLITE</t>
  </si>
  <si>
    <t>RSIN;M:C150TLH,B:PUROLITE;MACROPOROUS</t>
  </si>
  <si>
    <t>FAN ELEC;PN:6SE6430-2UD42-5GA0,COOLNG,3A</t>
  </si>
  <si>
    <t>CNTCT SET ELEC;M:S8E;FXD,SLDNG,660V,10A</t>
  </si>
  <si>
    <t>CNTCT SET ELEC;M:B8E;MVBL SLDNG,660V,10A</t>
  </si>
  <si>
    <t>RSSTR SET;STRTUP RES BX,1,2.1OHM</t>
  </si>
  <si>
    <t>CNVRTR;M:G420;TEMP,ANLGOHM,ANLGMA,85-265</t>
  </si>
  <si>
    <t>CIRCUIT BREAKER
TYPE: HIGH VOLTAGE VACUUM
CURRENT RATING: 1250 A
VOLTAGE RATING: 12 KV
ELECTRICAL POLE QUANTITY: 3P
INTERRUPT CAPACITY: 40 KA
MANUFACTURER PART NO:  ZN63A(VS1)-12
VENDOR:  TIANSHUI CHANGCHENG SWITCHGEAR FACTORY, CHINA</t>
  </si>
  <si>
    <t>ELECTRIC ACTUATOR
TYPE: REGULATING
VOLTAGE RATING: 416 V AC
TORQUE RATING: 80 LB-FT
ENCLOSURE RATING: IP68
APPLICATION: ROTARY CONTROL DRIVE WITH LINKAGE KIT
DAMPER/FD FAN BLADE PITCH CONTROL
MANUFACTURER PART NO:  11-159
VENDOR:  BECK</t>
  </si>
  <si>
    <t>CIRCUIT BREAKER
TYPE: AIR
CURRENT RATING: 1250 A
VOLTAGE RATING: 415 V
ELECTRICAL POLE QUANTITY: 4P
INTERRUPT CAPACITY: 65 KA
MODEL/MACHINE NO:  KFW2-1600/1250A
UNIT 4 TYPE TRIP UNIT VOLTAGE: 24 VDC
SERVICE BREAKING CAPACITY: 50 KA
SHORT CIRCUIT WITHSTAND CAPACITY (ICW): 42 KA
SHUNT RELEASE VOLTAGE: 220 VDC
CLOSING COIL VOLTAGE: 220 VDC
CHARGE MOTOR VOLTAGE: 220 VDC
AUXILLARY SWITCH (6 NO + 6 NC), WITH ENCLOSURE</t>
  </si>
  <si>
    <t>ELECTRONIC CONTROLLER
VOLTAGE RATING: 220 V
CURRENT RATING: 250 A
POWER RATING: 132 KW
APPLICATION: MOTOR FEEDER
MODEL/MACHINE NO:  ST500H/IN250</t>
  </si>
  <si>
    <t>CIRCUIT BREAKER
TYPE: AIR
CURRENT RATING: 400 A
VOLTAGE RATING: 415 V
ELECTRICAL POLE QUANTITY: 4P
INTERRUPT CAPACITY: 65 KA
MODEL/MACHINE NO:  KFW2-1600/400A
UNIT 4 TYPE TRIP UNIT VOLTAGE: 24 VDC
SERVICE BREAKING CAPACITY: 50 KA
SHORT CIRCUIT WITHSTAND CAPACITY (ICW): 42 KA
SHUNT RELEASE VOLTAGE: 220 VDC
CLOSING COIL VOLTAGE: 220 VDC
CHARGE MOTOR VOLTAGE: 220 VDC
AUXILLARY SWITCH (6 NO + 6 NC), WITH ENCLOSURE</t>
  </si>
  <si>
    <t>CIRCUIT BREAKER
TYPE: AIR
CURRENT RATING: 630 A
VOLTAGE RATING: 415 V
ELECTRICAL POLE QUANTITY: 4P
INTERRUPT CAPACITY: 65 KA
MODEL/MACHINE NO:  KFW2-1600/630A
SERIAL NO:  070722000
TRIP VOLTAGE: 24 VDC
SERVICE BREAKING CAPACITY: 50 KA
SHORT CIRCUIT WITHSTAND CAPACITY (ICW): 42 KA
SHUNT RELEASE VOLTAGE: 220 VDC
CLOSING COIL VOLTAGE: 220 VDC
CHARGE MOTOR VOLTAGE: 220 VDC
AUXILLARY SWITCH (6 NO + 6 NC), WITH ENCLOSURE</t>
  </si>
  <si>
    <t>CIRCUIT BREAKER
TYPE: AIR
CURRENT RATING: 800 A
VOLTAGE RATING: 415 V
ELECTRICAL POLE QUANTITY: 4P
INTERRUPT CAPACITY: 65 KA
MODEL/MACHINE NO:  KFW2-1600/800A
UNIT 4 TYPE TRIP UNIT VOLTAGE: 24 VDC
SERVICE BREAKING CAPACITY: 50 KA
SHORT CIRCUIT WITHSTAND CAPACITY (ICW): 42 KA
SHUNT RELEASE VOLTAGE: 220 VDC
CLOSING COIL VOLTAGE: 220 VDC
CHARGE MOTOR VOLTAGE: 220 VDC
AUXILLARY SWITCH (6 NO + 6 NC), WITH ENCLOSURE</t>
  </si>
  <si>
    <t>DEVICE
TYPE: DIFFERENTIAL PROTECTION
APPLICATION: MOTOR DIFFERENTIAL RELAY
MODEL/MACHINE NO:  WDZ-431EX
POTENTIAL 220 VDC
CURRENT: 5 A</t>
  </si>
  <si>
    <t>LIMIT SWITCH
TYPE: ACTUATOR SPRING CHARGE
APPLICATION: VACUUM CIRCUIT BREAKER
VENDOR:  TIANSHUI CHANGCHENG SWITCHGEAR FACTORY, CHINA
EQUIP/TAG MODE: ZN63A (VS1)-12/T</t>
  </si>
  <si>
    <t>ELECTRIC FAN
TYPE: TRANSVERSE FLOW
DIAMETER: 155 MM
SPEED: 1000 RPM
VOLTAGE RATING: 240 V
POWER RATING: 38 W
INSULATION CLASS: F
AIR FLOW CAPACITY: 1000 M3/H
MODEL/MACHINE NO:  GFDD420-90
VENDOR: HUAYING TRANSFORMER COMPONENTS MANUFACTURING CO. LTD
FOR IN DRY TYPE TRASNFORMER COOLING FAN</t>
  </si>
  <si>
    <t>ELECTRICAL RECEPTACLE
TYPE: PLUG SOCKET
F/VACUUM CIRCUIT BREAKER</t>
  </si>
  <si>
    <t>ELECTRONIC CARD
TYPE: SPEED MONITORING
VENDOR:  NETION/NETION CHENGDU NETION POWER
REFERENCE NO: NE9814</t>
  </si>
  <si>
    <t>ELECTRICAL ARRESTER
TYPE: SURGE LIGHTNING
MANUFACTURER PART NO: YH5WZ1-17/45X17/45
VENDOR:  XIAN SHENDIAN ELECTRONIC CO LTD</t>
  </si>
  <si>
    <t>PRESSURE GAUGE
OEM PART NO:  01010118
VENDOR:  HANGZHOU SHANLI PURIFY EQUIPMENT CO LTD</t>
  </si>
  <si>
    <t>SHUNT
VOLTAGE: 75 MV
CURRENT: 100 A
VENDOR:  PU JIANG
VENDOR:  INSTRUMENT CO LTD
COMPLETE SET OF EQUIPMENT</t>
  </si>
  <si>
    <t>THERMOSTAT
TEMPERATURE RANGE: 10-60 DEG C</t>
  </si>
  <si>
    <t>TRANSMITTER
TYPE: CURRENT
OUTPUT: 4-20 MA
POWER SUPPLY: 0-75 MIL V
VENDOR:  DELIXI</t>
  </si>
  <si>
    <t>TRANSMITTER
TYPE: VOLTAGE
OUTPUT: 4-20 MA DC
POWER SUPPLY: 0-300 V
VENDOR:  DELIXI</t>
  </si>
  <si>
    <t>SHUNT
VOLTAGE: 75 MIL V
CURRENT: 500 A
VENDOR:  PU JIANG
VENDOR: INSTRUMENT CO LTD
COMPLTE SET OF EQPUIPMENT</t>
  </si>
  <si>
    <t>SHUNT
VOLTAGE: 75 MIL V
CURRENT: 200 A
VENDOR:  PU JIANG
VENDOR: INSTRUMENT CO LTD</t>
  </si>
  <si>
    <t>RESIN
TYPE: MACROPOROUS STRONG BASE ANION EXCHANGE
PHYSICAL FORM: SPHERICAL BEADS
MODEL/MACHINE NO: A500TLSO4PLUS
BRAND: PUROLITE
POLYMER STRUCTURE: MACROPOROUS POLYSTYRENE CROSSLINKED WITH DIVINYLBENZENE</t>
  </si>
  <si>
    <t>RESIN
TYPE: MACROPOROUS STRONG ACID CATION EXCHANGE
PHYSICAL FORM: SPHERICAL BEADS
MODEL/MACHINE NO:  C150TLH
BRAND: PUROLITE
POLYMER STRUCTURE: MACROPOROUS POLYSTYRENE CROSSLINKED WITH DIVINYLBENZENE</t>
  </si>
  <si>
    <t>FAN
TYPE: DRY TRANSFORMER PCC COOLING
VOLTAGE: 250 V AC
POWER: 80 W
AIR FLOW CAPACITY: 1000 M3/H
APPLICATION: DRY TYPE TRANSFORMER PCC
VENDOR: SHANDONG LINQING YIHE TRANSFORMER CO LTD
MODEL/MACHINE NO:  GFDD 470-155</t>
  </si>
  <si>
    <t>ELECTRIC FAN
TYPE: COOLING
SPEED: 1360 R/MIN
VOLTAGE RATING: 230 (+/- 15 PCT) V
POWER RATING: 0.69 W
CURRENT RATING: 3 A
MANUFACTURER PART NO: 6SE6430-2UD42-5GA0
MNFR: ZIEHL ABEGG
MODEL/MACHINE NO: RG28P-4EK.4I.1R
FFT: FREQUENCY: 50HZ
REFERENCE DRIVE:  6SE6430-2UD42-5GA0</t>
  </si>
  <si>
    <t>ELECTRICAL CONTACT SET
TYPE: FIXED SLIDING
VOLTAGE RATING: 660 V
CURRENT RATING: 10 A
QUANTITY: 32
DIMENSIONS: 120 X 50 X 90 MM
MATERIAL: HARDEN PLASTIC
APPLICATION: ELECTRICAL PANEL
MODEL/MACHINE NO: S8E
VENDOR:  WENZHOU DEYUAN ELECTRIC CO. LTD</t>
  </si>
  <si>
    <t>ELECTRICAL CONTACT SET
TYPE: MOVABLE SLIDING
VOLTAGE RATING: 660 V
CURRENT RATING: 10 A
QUANTITY: 32
DIMENSIONS: 125 X 38 X 60 MM
MATERIAL: HARDEN PLASTIC
APPLICATION: ELECTRICAL PANEL
MODEL/MACHINE NO: B8E
VENDOR:  WENZHOU DEYUAN ELECTRIC CO. LTD</t>
  </si>
  <si>
    <t>RESISTOR SET
TYPE: STARTUP RESISTANCE BOX
QUANTITY: 1
RESISTANCE RANGE: 2.1 OHM
MODEL/MACHINE NO:  ZX15-110
CURRENT: 46A
FOR TDBFP AND H2 SEAL OIL
MAKE: SHANGHE</t>
  </si>
  <si>
    <t>CONVERTER
TYPE: TEMPERATURE
INPUT TYPE: ANALOG OHM
OUTPUT TYPE: ANALOG MA
INPUT: 85-265 VAC/120-300 VDC V AC
OUTPUT: 4-20 MA
APPLICATION: TRANSFORMER
MODEL/MACHINE NO:  G420
VENDOR:  HANGZHOU CTRLYARE ELECTRONIC CO LTD
EQUIP/TAG MODEL:  DF-250000/400TH</t>
  </si>
  <si>
    <t>Doc4642809444</t>
  </si>
  <si>
    <t>Revised to 45 from Emma</t>
  </si>
  <si>
    <t>MEL391222190044</t>
  </si>
  <si>
    <t>MEL391222100570</t>
  </si>
  <si>
    <t>MLB411136730020</t>
  </si>
  <si>
    <t>MEL391222100190</t>
  </si>
  <si>
    <t>MEL391222171041</t>
  </si>
  <si>
    <t>MEL391222001184</t>
  </si>
  <si>
    <t>MEL391222100469</t>
  </si>
  <si>
    <t>MEL391222100165</t>
  </si>
  <si>
    <t>MEL391222131218</t>
  </si>
  <si>
    <t>MEL391222101484</t>
  </si>
  <si>
    <t>MEL391222100119</t>
  </si>
  <si>
    <t>MEL391222170093</t>
  </si>
  <si>
    <t>MEL391222190150</t>
  </si>
  <si>
    <t>MEL391222100122</t>
  </si>
  <si>
    <t>MEL391222100109</t>
  </si>
  <si>
    <t>MEL391222100130</t>
  </si>
  <si>
    <t>MEL391222290021</t>
  </si>
  <si>
    <t>MEL391222190030</t>
  </si>
  <si>
    <t>MEL391222190054</t>
  </si>
  <si>
    <t>MEL391222100682</t>
  </si>
  <si>
    <t>MEL391222130091</t>
  </si>
  <si>
    <t>MEL391222190028</t>
  </si>
  <si>
    <t>MEL391222100201</t>
  </si>
  <si>
    <t>MEL391222100138</t>
  </si>
  <si>
    <t>MEL391222100137</t>
  </si>
  <si>
    <t>MEL391222130645</t>
  </si>
  <si>
    <t>MEL391222130351</t>
  </si>
  <si>
    <t>MEL391222300061</t>
  </si>
  <si>
    <t>MEL391222100135</t>
  </si>
  <si>
    <t>MEL391222290101</t>
  </si>
  <si>
    <t>MEL391222000200</t>
  </si>
  <si>
    <t>MEL391222130362</t>
  </si>
  <si>
    <t>SWTCH LVL;PN:ty-45-gf;VEGAWE62XXAGDRKNX</t>
  </si>
  <si>
    <t>SWTCH PRSR;PN:9AG-EF45-N4-F1A;HYD,200</t>
  </si>
  <si>
    <t>PNL;VIEW 800 TS,PLC,CAT:2711R-T4T</t>
  </si>
  <si>
    <t>SWTCH PRSR;PN:6202000037;P 953-1 B3-D-B</t>
  </si>
  <si>
    <t>SWITCH,2NO/NC,1A,110/240VAC,MM:SW-4311</t>
  </si>
  <si>
    <t>BELT SWAY SWITCH, SW-4028 E22, JAYSHREE</t>
  </si>
  <si>
    <t>SWTCH PRSR;PN:H100-188;50-1000PSI,480V</t>
  </si>
  <si>
    <t>SWTCH PRSR;101RN-Kk3-M4-C1A;0.2-2BAR</t>
  </si>
  <si>
    <t>SWTCH LMT;2 WAY,230VAC/24VDC,1A,1NO-1NC,</t>
  </si>
  <si>
    <t>SWTCH PRSR;M:GK20102A7K201N7A7K;ADJSTBL</t>
  </si>
  <si>
    <t>SWTCH DP;M:101NN-K13-N4-C1A;21-207KPA</t>
  </si>
  <si>
    <t>SWTCH SLCTR;240V AC,1NO-1NC</t>
  </si>
  <si>
    <t>SWTCH LVL;USNC;PWR SPPLY BX &amp; TRMNL BX</t>
  </si>
  <si>
    <t>SWTCH DP;PN:101NN-K3-N4-C1A;080316892</t>
  </si>
  <si>
    <t>SWTCH PRSR;M:107AL-N12-P1-F1A-X2X371</t>
  </si>
  <si>
    <t>SWTCH PRSR;M:4NN-K5-M4-C1A-X,0071002090</t>
  </si>
  <si>
    <t>"SWTCH TEMP;0-250DEGF;1/4"""</t>
  </si>
  <si>
    <t>SWTCH LVL;M:301A-F1A-B-A1-N4-SC-X373</t>
  </si>
  <si>
    <t>SWTCH LVL;M:RPLS-AAS2DA;230V;5A;210MM</t>
  </si>
  <si>
    <t>SWTCH PRSR;Model No.  414851-08C112</t>
  </si>
  <si>
    <t>SWTCH LMT;PN:E132;PLG VLV(NB80);ACTTR;BE</t>
  </si>
  <si>
    <t>SWTCH LVL;M:1510B-G5A-C-WA-ES;110V AC;1A</t>
  </si>
  <si>
    <t>SWTCH PRSR;DPHRGM,0-15BAR,BCKT WHL HYD</t>
  </si>
  <si>
    <t>SWTCH PRSR;M:6NN-K3-N4-C2A;060907495;12</t>
  </si>
  <si>
    <t>SWTCH PRSR;M:4NN-KK5-N4-B1A;071104625;20</t>
  </si>
  <si>
    <t>SWTCH LMT;SNAP-ON,240V,10A,5W,LNR MTN</t>
  </si>
  <si>
    <t>SWTCH LMT;M:YBLX-X2;OIL GUN &amp; IGNITER</t>
  </si>
  <si>
    <t>SWTCH PRXMTY;E6006;5-35V DC</t>
  </si>
  <si>
    <t>SWTCH PRSR;M:6NN-K3;12-100PSI</t>
  </si>
  <si>
    <t>SWTCH TEMP;PN:RT- 101(3M) 17-5127-X-ADC</t>
  </si>
  <si>
    <t>SWTCH;DSTRBTN,230V AC,5A,1P</t>
  </si>
  <si>
    <t>SWTCH LMT;M:E1321;RTRY</t>
  </si>
  <si>
    <t>SWITCH; LEVEL; MANUFACTURER PART NO:  ty-45-gf; VENDOR:  ALLEN BRADLEY; REFERENCE NO:  VEGAWE62XXAGDRKNX; DRAWING: DBH08097-7DK1-31/23; VEGAWE62XXAGDRKNX; LEVEL SWITCH VEGAWE62XXAGDRKNX</t>
  </si>
  <si>
    <t>SWITCH, PRESSURE; TYPE: HYDRAULIC, PRESSURE RANGE: 200-1750 PSI, VOLTAGE RATING: 230 V AC, CURRENT RATING: 5 A, APPLICATION: TURBINE; OEM PART NO: 9AG-EF45-N4-F1A, VENDOR:  SOR</t>
  </si>
  <si>
    <t>PANEL; PART NAME: PANEL VIEW 800,PART SIZE: 4.3 INCH,CATALOGUE NUMBER : 2711R-T4T, TOUCH SCREEN, ETHERNET, VOLTAGE RATING: 24 VDC, MAKE: ALLEN BRADLEY(ROCKWELL AUTOMATION)</t>
  </si>
  <si>
    <t>SWITCH; PRESSURE; VOLTAGE RATING: 24 V DC; CURRENT RATING: 1.5 A; OEM PART NO:  6202000037; VENDOR:  ELECTROTECH; REFERENCE NO:  P 953-1 B3-D-B-047-3-0</t>
  </si>
  <si>
    <t>SWITCH; TYPE: ROTARY CAM, CONVEYOR BELT LOADING MONITOR, VOLTAGE RATING: 110/240 VAC, CURRENT RATING: 1 A, CONTACT ARRANGEMENT: 2NO-2NC, CONNECTION TYPE: SCREW CLAMP; MODEL/MACHINE NO: SW-4311, MNFR: JAYASHREE</t>
  </si>
  <si>
    <t>SWITCH; TYPE: BELT SWAY, CONTACT ARRANGEMENT: 2 NO-2NC; MANUFACTURER PART NO:  SW-4028 E22, MANUFACTURER: JAYASHREE</t>
  </si>
  <si>
    <t>SWITCH, PRESSURE; PRESSURE RANGE: 50-1000 PSI, VOLTAGE RATING: 480 V AC, CURRENT RATING: 15 A, CONNECTION SIZE: 1/2 ", CONNECTION TYPE: FNPT; OEM PART NO:  H100-188, VENDOR:  UNITED ELECTRIC CONTROLS COMPANY; PROOF PRESSURE: 7000 PSI</t>
  </si>
  <si>
    <t>SWITCH, PRESSURE; PRESSURE RANGE: 0.2-2 BAR, CONNECTION LOCATION: LUBE OIL FILTER OF MDBFP, APPLICATION: LUBE OIL FILTER OF MDBFP; REFERENCE NO:  101RN-Kk3-M4-C1A, MANUFACTURER:  SOR INC; OVER RANGE: 35 BAR, PROOF: 70 BAR</t>
  </si>
  <si>
    <t>SWITCH, LIMIT; TYPE: (2) WAY, VOLTAGE RATING: 230 VAC/24 VDC, CURRENT RATING: 1 A, ACTION: 1NO-1NC, CONTACT ARRANGEMENT: (1) NO-(1) NC, ACTUATOR: ADJUSTABLE LEVER, APPLICATION: AUGER, SPECIFICATION: LIMIT SWITCH NG1VS-510L024-M, MAKE TEKNIC EUCHNER</t>
  </si>
  <si>
    <t>SWITCH, PRESSURE; TYPE: ADJUSTABLE, PRESSURE RANGE: 15 (MAX) BAR, VOLTAGE RATING: 12-24 V DC, CURRENT RATING: 10 A, ACTION: (2) SPDT, CONTACT ARRANGEMENT: 2NO-2NC, CONNECTION SIZE: 1/2 IN; MODEL/MACHINE NO: GK20102A7K201N7A7K, VENDOR:  SWITZER</t>
  </si>
  <si>
    <t>SWITCH; DIFFERENTIAL PRESSURE; MEASUREMENT RANGE: 21-207 KPA; MODEL/MACHINE NO:  101NN-K13-N4-C1A; VENDOR:  SOR; PRESSURE: 3450 KPA</t>
  </si>
  <si>
    <t>SWITCH, SELECTOR; VOLTAGE RATING: 240 V AC, CONTACT ARRANGEMENT: 1NO-1NC</t>
  </si>
  <si>
    <t>SWITCH; LEVEL; TYPE: ULTRASONIC; APPLICATION: POWER SUPPLY BOX AND TERMINAL BOX; VENDOR:  JINAN HENGRUNTONG AUTOMATION EQUIPMENT CO.;LTD.; DRAWING: 373-F2041S-D0704-25</t>
  </si>
  <si>
    <t>SWITCH; DIFFERENTIAL PRESSURE; TYPE: DOUBLE POLE; MEASUREMENT RANGE: 3-30 PSI; MANUFACTURER PART NO:  101NN-K3-N4-C1A; VENDOR:  SOR; REFERENCE NO:  080316892</t>
  </si>
  <si>
    <t>SWITCH, PRESSURE; PRESSURE RANGE: 1 KPA; MODEL/MACHINE NO:  107AL-N12-P1-F1A-X2X371, VENDOR:  SOR</t>
  </si>
  <si>
    <t>SWITCH, PRESSURE; PRESSURE RANGE: 3-50 PSI; VENDOR:  SOR, MODEL/MACHINE NO: 4NN-K5-M4-C1A-X, REFERENCE NO: 0071002090; OVERRANGE: 750 PSI, PROOF: 1000 PSI</t>
  </si>
  <si>
    <t>SWITCH, TEMPERATURE; TEMPERATURE RATING: 0-250 DEGF, ELECTRICAL CONNECTION SIZE: 1/4 "; VENDOR: UNITED ELECTRICAL CONTROL CO</t>
  </si>
  <si>
    <t>SWITCH, LEVEL; PRESSURE RANGE: 1500 PSI; VENDOR:  SOR, MODEL/MACHINE NO: 301A-F1A-B-A1-N4-SC-X373</t>
  </si>
  <si>
    <t>SWITCH; LEVEL; VOLTAGE RATING: 230 V; CURRENT RATING: 5 A; MEASUREMENT RANGE: 210 MM; PRESSURE RANGE: 3 KG/CM2; TEMPERATURE RATING:-10 TO 80 DEG C; CONTACT ARRANGEMENT: 1NO-1NC; CABLE LENGTH: 219 MM; MODEL/MACHINE NO:  RPLS-AAS2DA; VENDOR:  TECHTROL</t>
  </si>
  <si>
    <t>SWITCH, PRESSURE; TYPE: PRESSURE SWITCH, PRESSURE RANGE: 140-1240 KPA, VOLTAGE RATING: 24 V DC, CURRENT RATING: 5 A, ACTION: DIRECT, CONTACT ARRANGEMENT: NO/NC, CONNECTION SIZE: 1/2 ", ENCLOSURE RATING: NEMA 1, 4, 4X, 7,9, APPLICATION: CHARGE PUMP SUCTION; REFERENCE NO:  Model No.  414851-08C112  , MANUFACTURER:  SOR INC; POTENTIAL:24VDC NOT APPLICABLE</t>
  </si>
  <si>
    <t>SWITCH, LIMIT; APPLICATION: PLUG VALVE (SIZE: NB 80), ACTUATOR; MANUFACTURER PART NO:  E132, VENDOR:  AUDCO; DRAWING: BE/A-351/13630D, REV: 1, POS: 125</t>
  </si>
  <si>
    <t>SWITCH, LEVEL; VOLTAGE RATING: 110 V AC, CURRENT RATING: 1 A, PRESSURE RANGE: 1500 PSI; VENDOR:  SOR, MODEL/MACHINE NO:  1510B-G5A-C-WA-ES</t>
  </si>
  <si>
    <t>SWITCH, PRESSURE; TYPE: DIAPHRAGM, PRESSURE RANGE: 0-15 BAR, APPLICATION: BUCKET WHEEL HYDRAULIC SYSTEM</t>
  </si>
  <si>
    <t>SWITCH, PRESSURE; PRESSURE RANGE: 12-100 PSI; VENDOR:  SOR, MODEL/MACHINE NO:  6NN-K3-N4-C2A, REFERENCE NO: 060907495; OVER RANGE: 1500 PSI, PROOF: 2500 PSI</t>
  </si>
  <si>
    <t>SWITCH, PRESSURE; PRESSURE RANGE: 20-345 KPA; VENDOR:  SOR, MODEL/MACHINE NO:  4NN-KK5-N4-B1A, REFERENCE NO: 071104625; OVER RANGE: 5170, PROOF: 6895</t>
  </si>
  <si>
    <t>SWITCH, LIMIT; TYPE: SNAP-ON, VOLTAGE RATING: 240 V, CURRENT RATING: 10 A, POWER RATING: 5 W, ACTION: LINEAR MOTION, CONTACT ARRANGEMENT: 2NO-2NC, ACTUATOR: LIVER; REFERENCE NO: 61100345; POTENTIAL:240 VOLT; CURRENT:10 AMPERE</t>
  </si>
  <si>
    <t>SWITCH; LIMIT; TYPE: OIL GUN &amp; IGNITER LIMIT SWITCH; VOLTAGE RATING: 380 V AC; CURRENT RATING: 2 A; VENDOR:  CHINESE; MODEL/MACHINENO:  YBLX-X2; GB: 140485; ACTUATOR (VOLTAGE: 380 VAC); CHIUT</t>
  </si>
  <si>
    <t>SWITCH; PROXIMITY; VOLTAGE RATING: 5-35 V DC; VENDOR:  OSNA; EQUIP/TAG MODE: E6006; MNFR: OSNA</t>
  </si>
  <si>
    <t>SWITCH, PRESSURE; PRESSURE RANGE: 12-100 PSI; VENDOR:  SOR, MODEL/MACHINE NO:  6NN-K3</t>
  </si>
  <si>
    <t>SWITCH, TEMPERATURE; TYPE: INDUSTRIAL, TEMPERATURE RATING: 25-90 DEG C, BULB SIZE: DIA 9.5 X LG 80 MM, VOLTAGE RATING: 220/110 VAC/DC, CURRENT RATING: 10 A, POWER RATING: 55 W, CONTACT ARRANGEMENT: 1NO, ACTION: SINGLE POLE DOUBLE THROW, CAPILLARY LENGTH: 3 M, ENCLOSURE RATING: IP66, LENGTH: 150 MM; MANUFACTURER PART NO: RT- 101(3M) 17-5127-X-ADC, VENDOR: INDFOS, MODEL/MACHINE NO: THLM2590CDXX, VENDOR:  INDFOS</t>
  </si>
  <si>
    <t>SWITCH; TYPE: DISTRIBUTION, VOLTAGE RATING: 230 V AC, CURRENT RATING: 5 A, ELECTRICAL POLE QUANTITY: 1P</t>
  </si>
  <si>
    <t>SWITCH; LIMIT; TYPE: ROTARY; MODEL/MACHINE NO:  E1321; VENDOR:  ROTEX AUMOTATION LTD</t>
  </si>
  <si>
    <t>30</t>
  </si>
  <si>
    <t>25</t>
  </si>
  <si>
    <t>New Model: WDZ-5242A</t>
  </si>
  <si>
    <t>New Model: WDZ-5241A</t>
  </si>
  <si>
    <t>New Model: WDZ-5231A</t>
  </si>
  <si>
    <t>Arnav A Associates</t>
  </si>
  <si>
    <t>Diode</t>
  </si>
  <si>
    <t>Fuse for Semiconductor</t>
  </si>
  <si>
    <t>Diode (Reverse) Part No. R6W12033V0 Powerex  or equivalent make</t>
  </si>
  <si>
    <t>Diode (Forward) Part No. R6W02033V0 Powerex or equivalent make</t>
  </si>
  <si>
    <t>Fuse for Semiconductor protection EATON Bussman make 450SBMT, 450A, 240V</t>
  </si>
  <si>
    <t>Nos.</t>
  </si>
  <si>
    <t>PR Qty.</t>
  </si>
  <si>
    <t>Unit Rate INR</t>
  </si>
  <si>
    <t>Sub Total INR</t>
  </si>
  <si>
    <r>
      <rPr>
        <b/>
        <u/>
        <sz val="10"/>
        <rFont val="Calibri"/>
        <family val="2"/>
        <scheme val="minor"/>
      </rPr>
      <t>Terms &amp; Conditions</t>
    </r>
    <r>
      <rPr>
        <sz val="10"/>
        <rFont val="Calibri"/>
        <family val="2"/>
        <scheme val="minor"/>
      </rPr>
      <t xml:space="preserve">
Offer Basis FOR Plant basis.
Delivery Time: 12 weeks from date of receipt of confirm PO
G/Warranty: 12 months from date of DISPATCH - only for manufacturing defects
Payment Terms: 100% alongwith taxes etc. against PI.
Offer Validity: 31 days from date of offer.
Any statutory changes in rate of tax etc. will be applicable as on date of dispatch.
Minimum Order Qty.: N/A
Standard packaging will be done for supply of above items.
100% fitment &amp; interchangeability of offered products. In case of any discrepancy, we will replace items promptly for free of cost. </t>
    </r>
  </si>
  <si>
    <t>GST as extra as applicable as per HSN.8541</t>
  </si>
  <si>
    <t>Name plate of Indoor unit pictures required</t>
  </si>
  <si>
    <t>Item picture for the requirement</t>
  </si>
  <si>
    <t>Comment</t>
  </si>
  <si>
    <t>Need with program or w/o program, if with program kindly share the main equipment details and photos</t>
  </si>
  <si>
    <t>Send to Emma</t>
  </si>
  <si>
    <t>Drawing for the requested and main equipment name plate picture</t>
  </si>
  <si>
    <t>Drawing for the requested</t>
  </si>
  <si>
    <t>Give us the card photograph and name equipment tag photo</t>
  </si>
  <si>
    <t>Not in this list</t>
  </si>
  <si>
    <t>Item is no longer in the list</t>
  </si>
  <si>
    <t>YOX 280</t>
  </si>
  <si>
    <t>Fluid Coupling Shaft (Power)- YOX 280</t>
  </si>
  <si>
    <t>GST as extra as applicable as per HSN: 8483</t>
  </si>
  <si>
    <t>COUPLING; TYPE: DRIVE; METAL SHACKLE; APPLICATION: PA FAN;MANUFACTURER PART NO: JM1J11; VENDOR: RUSSELL</t>
  </si>
  <si>
    <t>CPLG;PN:JM1J11;DRV; MTL SHCKL;PA FAN</t>
  </si>
  <si>
    <t>Skillfab</t>
  </si>
  <si>
    <t>Alston</t>
  </si>
  <si>
    <t>Material Code</t>
  </si>
  <si>
    <t>MMT311715070121</t>
  </si>
  <si>
    <t>BRNG THRST;8,450MM,230MM,PADS;0-0081</t>
  </si>
  <si>
    <t>SCRW;GRVD CYLD HD,10MM,M4,0.7MM,10MM,RND</t>
  </si>
  <si>
    <t>MHW311615110071</t>
  </si>
  <si>
    <t>SCREW; TYPE: GROOVED CYLINDER HEAD,
OVERALL LENGTH: 10 MM, DIAMETER: M4, THREAD PITCH: 0.7 MM, THREAD LENGTH: 10 MM, HEAD STYLE: ROUND, MATERIAL: Q235-A; FOR TDBFP THRUST BEARING WITH DRAWING NO 0-0081-5015-0000-01</t>
  </si>
  <si>
    <t>BEARING, THRUST;
1set: PIECE QUANTITY: 8,
OUTSIDE DIAMETER: 450 MM, WIDTH: 230 MM, ROLLING ELEMENT: PADS;
DRAWING: 0-0081-5015-0000-01;
INSIDE DIAMETER: 150 MM</t>
  </si>
  <si>
    <t>MAC401416221582</t>
  </si>
  <si>
    <t>VLV CHK;DN400,PN 4,PINE LN NRV;D:37</t>
  </si>
  <si>
    <t>VALVE, CHECK; SIZE: DN 400, PRESSURE  RATING: PN 4, APPLICATION: PINE LINE  NRV; EQUIP/TAG MODEL:  H44H-40;  DRAWING: 37-FA10091Z-J1401-16, POS:  308</t>
  </si>
  <si>
    <t>Ea.</t>
  </si>
  <si>
    <t>DWG Code: C1NQ.570.085/2</t>
  </si>
  <si>
    <t>A.C Brushless exciter type: TFLW459-3000
Rate Power: 459 KW
Rated DC Voltage: 435V
Rated DC Current: 1055A
Rated Speed: 3000 r/min</t>
  </si>
  <si>
    <t>PMG
Type: TFY5-3000B
Rated Capacity: 5 KVA
Rated Voltage: 270V
Rated Current: 18.5 A
Rated Speed: 3000 r/min</t>
  </si>
  <si>
    <t>1 X 2</t>
  </si>
  <si>
    <t>MAC401417450044</t>
  </si>
  <si>
    <t>MAC401417450043</t>
  </si>
  <si>
    <t>MAC401417450045</t>
  </si>
  <si>
    <t>MAC401417450110</t>
  </si>
  <si>
    <t>MAC401417450047</t>
  </si>
  <si>
    <t>MAC401417450042</t>
  </si>
  <si>
    <t>PLUG;PN:YOXIIZ400;FSBL,140DEG C</t>
  </si>
  <si>
    <t>PLUG;PN:YOXII560;FSBL,140DEG C</t>
  </si>
  <si>
    <t>PLUG;PN:YOXIIZ560;FSBL,140DEG C</t>
  </si>
  <si>
    <t>PLG FUSBL;24MM,CST AL,PB,140DEG C</t>
  </si>
  <si>
    <t>PLUG;FSBL,140DEG C;USAGE LOCATION</t>
  </si>
  <si>
    <t>PLUG;PN:YOXIIZ500;FSBL,FLD CPLNG</t>
  </si>
  <si>
    <t>PLUG; TYPE: FUSIBLE, APPLICATION: FLUID  COUPLING; OEM PART NO:  YOXIIZ500,  VENDOR:  GUANGDONG ZHONGXING POWER  TRANSMISSION CO. LTD</t>
  </si>
  <si>
    <t xml:space="preserve">PLUG; TYPE: FUSIBLE, TEMPERATURE  RATING: 140 DEG C; EQUIP/TAG MODE:  YOX1150, MNFR: GUANGDONG ZHONGXING  POWER TRANSMISSION CO LTD; USAGE  LOCATION COUPLING, RING HAMMER CRUSHER </t>
  </si>
  <si>
    <t>PLUG, FUSIBLE; DIMENSIONS: 24 MM,
CASING MATERIAL: CAST ALUMINIUM, CORE
YOXII650  MATERIAL: LEAD, TEMPERATURE RATING:
YOXIIZ650 L-829 140 DEG C; EQUIP/TAG MODEL:  YOXII650,
YOXIIZ650 L-829 MANUFACTURER:  GUANGDONG ZHONGXING
YOXIIZ650 L-829 POWER TRANSMISSION CO LTD; FOR FLUID
YOXII650 COUPLING</t>
  </si>
  <si>
    <t>PLUG; TYPE: FUSIBLE, TEMPERATURE  RATING: 140 DEG C; OEM PART NO:  YOXIIZ560, VENDOR:  GUANGDONG  ZHONGXING POWER TRANSMISSION CO. LTD</t>
  </si>
  <si>
    <t>PLUG; TYPE: FUSIBLE, TEMPERATURE  RATING: 140 DEG C; OEM PART NO:  YOXII560, VENDOR:  GUANGDONG ZHONGXING  POWER TRANSMISSION CO LTD</t>
  </si>
  <si>
    <t>PLUG; TYPE: FUSIBLE, TEMPERATURE  RATING: 140 DEG C; OEM PART NO:  YOXIIZ400, VENDOR:  GUANGDONG  ZHONGXING POWER TRANSMISSION CO LTD</t>
  </si>
  <si>
    <t>GST as extra as applicable</t>
  </si>
  <si>
    <t>MGS314117000225</t>
  </si>
  <si>
    <t>SEAL MECH;CS,55MM,HSD SUPPLY PMP;FACE TO</t>
  </si>
  <si>
    <t>SEAL, MECHANICAL; BODY MATERIAL: CARBON STEEL, SHAFT DIAMETER: 55 MM, APPLICATION: HSD SUPPLY PUMP; FACE TO FACE LENGTH: 125 MM</t>
  </si>
  <si>
    <t>GINA</t>
  </si>
  <si>
    <t>Doc4793672932</t>
  </si>
  <si>
    <t>SPRCKT;PN:DN01E4.1E,LL34×126;DRGGNG DEVC</t>
  </si>
  <si>
    <t>MMT311719000070</t>
  </si>
  <si>
    <t>CHN;PN:YDTAL.DN01E4.00;CNVYR;CASE HRDND</t>
  </si>
  <si>
    <t>MRW311516000043</t>
  </si>
  <si>
    <t>LNK CHN TXMSN;PN:34T 126;F/SUBMERGED</t>
  </si>
  <si>
    <t>MRW311516090027</t>
  </si>
  <si>
    <t>SPROCKET
APPLICATION: DRAGGING DEVICE
OEM PART NO: DN01E4.1E
VENDOR: QINGDAO SIZHOU
REFERENCE NO: LL34×126</t>
  </si>
  <si>
    <t>CHAIN
TYPE: CONVEYOR
MATERIAL: CASE HARDENED STEEL
OEM PART NO: YDTAL.DN01E4.00
VENDOR: QINGDAO SIZHOU; W/(2) RINGS (DIA: 61.2 36MM); (2) RINGS (DIA: 486 MM)
CHAIN CONNECTORS</t>
  </si>
  <si>
    <t>CHAIN TRANSMISSION LINK
MANUFACTURER PART NO: 34T 126
VENDOR: QINGDAO SIZHOU
F/SUBMERGED SCRAPER CHAIN CONVEYOR</t>
  </si>
  <si>
    <t>PAD;FRIFLO IMPCT,WD 100 X LG 1600 X THK</t>
  </si>
  <si>
    <t xml:space="preserve">Doc4461195564 </t>
  </si>
  <si>
    <t>PAD;FRIFLO IMPCT,WD 100 X LG 1800 X THK</t>
  </si>
  <si>
    <t>PAD
TYPE: FRIFLO IMPACT
DIMENSIONS: WD 100 X LG 1600 X THK 80 MM
MATERIAL: ULTRA HIGH MOLECULAR WEIGHT POLYETHYLENE APPLICATION: CONVEYOR BELT (WD: 1.6 M)</t>
  </si>
  <si>
    <t>PAD
TYPE: FRIFLO IMPACT
DIMENSIONS: WD 100 X LG 1800 X THK 80 MM
MATERIAL: ULTRA HIGH MOLECULAR WEIGHT POLYETHYLENE APPLICATION: CONVEYOR BELT (WD: 1.8 M)</t>
  </si>
  <si>
    <t>Doc4524210333</t>
  </si>
  <si>
    <t>MAC401515520016</t>
  </si>
  <si>
    <t>MAC401515520015</t>
  </si>
  <si>
    <t>MAC401517280007</t>
  </si>
  <si>
    <t>MAC401517280006</t>
  </si>
  <si>
    <t>MGM271315100002</t>
  </si>
  <si>
    <t>MAC401517240003</t>
  </si>
  <si>
    <t>MGM271315100003</t>
  </si>
  <si>
    <t>MGM271315100141</t>
  </si>
  <si>
    <t>MGM271117210001</t>
  </si>
  <si>
    <t>MAC401517320256</t>
  </si>
  <si>
    <t>MAC401517320257</t>
  </si>
  <si>
    <t>MAC401516070082</t>
  </si>
  <si>
    <t>MAC401515520121</t>
  </si>
  <si>
    <t>INJECTION PUMP
P/N: MBH101-8MPFMEM4SEST11NN22
TYPE: NH3 AND N2H2DOSING
FLOW RATE: 36 L/HR
MODEL: RA040S024X1MNN
SERIAL: CKAH60701-98
FFT: 24</t>
  </si>
  <si>
    <t>INJECTION PUMP
P/N: MBH101-8MPFMEM4SEST11NN22
TYPE: TSP DOSING
OPERATING PRESSURE: 240 BAR
FLOW RATE: 47 LITER PER HOUR
SERIAL: CKAH60701-120
FFT: SET</t>
  </si>
  <si>
    <t>PUMP REPAIR KIT
APPLICATION: DOSING PUMP
EQUIP/TAG MODE: NH3 AND N2H2</t>
  </si>
  <si>
    <t>PUMP REPAIR KIT
TYPE: SPARE PART
APPLICATION: TSP DOSING PUMP</t>
  </si>
  <si>
    <t>ACCUMULATOR BLADDER
CAPACITY: 40 L
PRESSURE RATING: MAX 31.5 MPA
MODEL/MACHINE NO: NXQ A 40/31.5-L-EH
VENDOR: DELTAK POWER EQUIPMENT CO LTD
SERVICE: EH OIL
TEMPERATURE RANGE: 70 DEG C</t>
  </si>
  <si>
    <t>ASSEMBLY
TYPE: WORM
APPLICATION: PHOSPHATE DOSING PUMP
OEM PART NO: 9.25:1 S2520134006
VENDOR: MILTON ROY</t>
  </si>
  <si>
    <t>ACCUMULATOR BLADDER
CAPACITY: 25 L
PRESSURE RATING: 10 MPA
MODEL/MACHINE NO: NXQ A 25/10-L-EH
VENDOR: DELTAK POWER EQUIPMENT CO LTD
SERVICE: EH OIL
TEMPERATURE RANGE: 70 DEG C</t>
  </si>
  <si>
    <t>ACCUMULATOR BLADDER
CAPACITY: 10 L
PRESSURE RATING: 10 MPA
APPLICATION: IVR/IVL EH OIL ACCUMULATOR
SPECIFICATION: TEMPERATURE RANGE: 70 DEG C
OEM PART NO: NXQ 10/10-L-E
OEM: WANRONG BLADDER CO LTD
EQUIP/TAG MODEL: 20146166</t>
  </si>
  <si>
    <t>CRANK
MANUFACTURER PART NO: 2160004062
F/TSP DOSING PUMP</t>
  </si>
  <si>
    <t>PUMP SHAFT
MATERIAL: STEEL
MATERIAL GRADE: 35CRMO
EQUIP/TAG MODE: QG500-80 MOC
F/BOOSTER PUMP</t>
  </si>
  <si>
    <t>PUMP SHAFT
DRAWING: CPP/TURB/MECH/SLD/1417
F/DM WAT PUMP</t>
  </si>
  <si>
    <t>REFRIGERATION COMPRESSOR
TYPE: CHILLER
SCREW, FLOW RATE: 745 M3/H
DRIVER: MOTOR, VOLTAGE: 415 V
COOLING CAPACITY : 682.6 KW</t>
  </si>
  <si>
    <t>DIAPHRAGM PUMP
TYPE: METERING
FLOW RATE: 2482.59 LPH
PRESSURE RATING: 6.2 BAR
OEM PART NO: 1032620
OEM: PULSA FEEDER, MODE</t>
  </si>
  <si>
    <t>MGE261115241353</t>
  </si>
  <si>
    <t>GRBX;M:QDX3-6;WRM,64:1,24RPM,4.4RPM,1</t>
  </si>
  <si>
    <t>GEARBOX; TYPE: WORM, RATIO: 64:1, INPUT SPEED: 24 RPM, OUTPUT SPEED: 4.4 RPM, INPUT POWER RATING: 1.5 KW, OUTPUT POWER RATING: 1.5 KW, OUTPUT TORQUE RATING: 2640 NM, TEETH QUANTITY: 18 NO , SHAFT DIAMETER: 30 MM, APPLICATION: ELECTRIC ACTUATOR; MODEL/MACHINE NO: QDX3-6, VENDOR: CHANGZHOU SCHNEIDER, SERIAL: 11122184, EQUIP/TAG MODE: SND -Z60-24 S</t>
  </si>
  <si>
    <t>Bid Value</t>
  </si>
  <si>
    <t>MGE261011143485</t>
  </si>
  <si>
    <t>MTR;O/D,22KW,3 PHSE,50HZ,415V,43.4A,YB2</t>
  </si>
  <si>
    <t xml:space="preserve"> MGE261012100005</t>
  </si>
  <si>
    <t>MTR;DC CMPND,17KW,220V DC,220V DC,91A,Z2</t>
  </si>
  <si>
    <t xml:space="preserve"> MAC401515330044</t>
  </si>
  <si>
    <t>VANE;HYD;PRESSURE: 140 KG/CM2</t>
  </si>
  <si>
    <t>VANE
TYPE: HYDRAULIC
VENDOR: EATON / VICKERS
SERIAL: V110 351C 10 S203 IN148
PRESSURE: 140 KG/CM2</t>
  </si>
  <si>
    <t>MOTOR 
TYPE: OUTDOOR
POWER RATING: 22 KW
POWER SUPPLY: 3 PHASE,50HZ, 
VOLTAGE RATING: 415 V
CURRENT RATING: 43.4 A
FRAME:YB2-225M-8
SPEED: 730 R/MIN
DIRECTION OF ROTATION: BIDIRECTIONAL
INSULATION CLASS: F
ENCLOSURE RATING: IP55
DUTY: S1, CO</t>
  </si>
  <si>
    <t>MOTOR
TYPE: DC COMPOUND
POWER RATING: 17 KW
POWER SUPPLY: 220 VDC 
VOLTAGE RATING: 220 V DC 
CURRENT RATING: 91 A  
FRAME: Z2-71TH,
SPEED: 1500 R/MIN, 
DIRECTION OF ROTATION: BIDIRECTIONAL,
INSULATIONCLASS: B, 
MOUNTING METHOD: FOOT, 
DUTY: S</t>
  </si>
  <si>
    <t>The Light Companie</t>
  </si>
  <si>
    <t>MPM231534020676</t>
  </si>
  <si>
    <t>MPM231534020677</t>
  </si>
  <si>
    <t>ASSY;HRZNTL SPLT,MAIN BRG BX,FD FAN BRG</t>
  </si>
  <si>
    <t>ASSY;BRG HSG,PA FAN;D:SOGA3063</t>
  </si>
  <si>
    <t>ASSEMBLY
TYPE: HORIZONTAL SPLIT
MAIN BEARING BOX
APPLICATION: FD FAN BEARING HOUSING
MODEL/MACHINE NO: HI50NI-C
EQUIP/TAG MODEL: FAF20-10 -1
DRAWING: SOGA 0244
MANUFACTURER: SHANGHAI BLOWER WORKSCO LTD, CHINA</t>
  </si>
  <si>
    <t>ASSEMBLY
TYPE: BEARING HOUSING
APPLICATION: PA FAN
MODEL/MACHINE NO: H150N2
EQUIP/TAG MODEL: PAF18-13.3 -2
DRAWING: SOGA3063
MANUFACTURER: SHANGHAI BLOWER WORKS CO LIMITED ,CHINA</t>
  </si>
  <si>
    <t>Aution final price</t>
  </si>
  <si>
    <t>MGE261011120002</t>
  </si>
  <si>
    <t>MOTOR ELEC;DRV,11KV,630KW,743RPM,160MM</t>
  </si>
  <si>
    <t>ELECTRIC MOTOR
TYPE: DRIVE
VOLTAGE RATING: 11 KV 
POWER RATING: 630 KW
SPEED: 743 RPM 
SHAFT DIAMETER: 160 MM
FRAME: YKK560
ELECTRICAL POLE QUANTITY: 8
INSULATION CLASS: F
DUTY RATING: S1
MOUNTING METHOD: B3
PHASE QUANTITY: 3PH
FREQUENCY: 50 HZ</t>
  </si>
  <si>
    <t>MHW311624160201</t>
  </si>
  <si>
    <t>CPLG;E:ZL-10(COUPLING);ELSTC,GB SD-165 X</t>
  </si>
  <si>
    <t>COUPLING
TYPE: ELASTIC
DIMENSIONS: GB SIDE-165 X 302 AND PULLEY SIDE-150 X 252 MM
APPLICATION: CONV-5AB ELASTIC GEAR
EQUIP/TAG MODEL:  ZL-10(COUPLING)
MANUFACTURER: SEPCO
DRAWING: 37-FA10091S-M0405-01
REV: 0
POS: 5</t>
  </si>
  <si>
    <t>MHW311624160202</t>
  </si>
  <si>
    <t>CPLG;E:ZL-12;ELSTC,GB SD-165 X 302</t>
  </si>
  <si>
    <t>COUPLING
TYPE: ELASTIC
DIMENSIONS: GB  SIDE-165 X 302 AND PULLEYSIDE-190 X  352 MM APPLICATION: CONV-13AB ELASTIC  GEAR
EQUIP/TAGMODEL:  ZL-12
MANUFACTURER: SEPCO
DRAWING: 37 -FA10091S-M0413-01
POS: 5</t>
  </si>
  <si>
    <t>MHW311624160203</t>
  </si>
  <si>
    <t>CPLG;E:ZL14;ELSTC,GB SD-220 X 352 &amp; PLLY</t>
  </si>
  <si>
    <t>MHW311624160204</t>
  </si>
  <si>
    <t>CPLG;E:ZL13;ELSTC,GB SD-200 X 352 &amp; PLLY</t>
  </si>
  <si>
    <t>COUPLING
TYPE: ELASTIC
DIMENSIONS: GB SIDE-200 X 352 AND PULLEY SIDE-220 X 352 MM APPLICATION: CONV-3AB ELASTIC PIN
EQUIP/TAG MODEL:  ZL13
MANUFACTURER:  SEPCO
DRAWING: 37-FA10091S-M0403-01
POS: 6</t>
  </si>
  <si>
    <t>MHW311624160205</t>
  </si>
  <si>
    <t>CPLG;E:ZL7;ELSTC,GB SD-105 X 212 &amp; PLLY</t>
  </si>
  <si>
    <t>COUPLING
TYPE: ELASTIC
DIMENSIONS: GB SIDE-105 X 212 AND PULLEY SIDE-110 X 212 MM
APPLICATION: CONVEYOR-1ABCD ELASTIC PIN
EQUIP/TAG MODEL:  ZL7
MANUFACTURER:  SEPCO 
DRAWING: 37-FA10091S-M0401-01
POS: 5</t>
  </si>
  <si>
    <t>MHW311624160206</t>
  </si>
  <si>
    <t>CPLG;E:ZL-12;ELSTC,GB SD-180 X 302</t>
  </si>
  <si>
    <t>COUPLING
TYPE: ELASTIC
DIMENSIONS: GB  SIDE-180 X 302 AND PULLEYSIDE-190 X  352 MM
APPLICATION: CONV-8AB ELASTIC  GEAR 
EQUIP/TAGMODEL:  ZL-12
MANUFACTURER:  SEPCO
DRAWING: 37 -FA10091S-M0408-01
POS: 5</t>
  </si>
  <si>
    <t>MHW311624160207</t>
  </si>
  <si>
    <t>CPLG;E:ZL12(CPLNG);GB SD-175 X 302</t>
  </si>
  <si>
    <t>COUPLING
DIMENSIONS: GB SIDE-175 X 302  AND PULLEY SIDE-190 X 352 MM
APPLICATION: CONV-4AB,6AB,9AB-ELASTIC  GEAR  AND CONV-11AB-ELASTICPIN
EQUIP/TAG MODEL:  ZL12(CPLNG)
MANUFACTURER:  SEPCO
DRAWING:37 -FA10091S-M0411-01
POS: 5</t>
  </si>
  <si>
    <t>MHW311624160208</t>
  </si>
  <si>
    <t>CPLG;E:ZL11;ELSTC,GB SD-165 X 302 &amp; PLLY</t>
  </si>
  <si>
    <t>COUPLING
TYPE: ELASTIC
DIMENSIONS: GB SIDE-165 X 302 AND PULLEY SIDE-170 X 302 APPLICATION: CONV-2AB ELASTIC GEAR 
EQUIP/TAG MODEL:  ZL11 
MANUFACTURER:  SEPCO
DRAWING: 37-FA10091S-M0402-01
POS: 5</t>
  </si>
  <si>
    <t>MHW311624160209</t>
  </si>
  <si>
    <t>COUPLING
TYPE: ELASTIC, 
DIMENSIONS: GB  SIDE-180 X 302 AND PULLEYSIDE-200 X  352 MM APPLICATION: CONV-7ABC AND  10AB
EQUIP/TAG MODEL: ZL-12
MANUFACTURER:  SEPCO
DRAWING: 37 -FA10091S-M0410-01
POS: 5</t>
  </si>
  <si>
    <t>COUPLING 
TYPE: ELASTIC
DIMENSIONS: GB  SIDE-220 X 352 AND PULLEYSIDE-260 X  412 MM
APPLICATION: CONV-12AB
EQUIP/TAG MODEL:  ZL14
MANUFACTURER:  SEPCO 
DRAWING: 37-FA10091S-M0412-01
 POS: 5</t>
  </si>
  <si>
    <t>Note: Offered item is a set of both stationary &amp; rotating type for use on either side (DE or NDE) of pump</t>
  </si>
  <si>
    <t xml:space="preserve"> Kalpana has taken 4% dicount, if order comes, to be applied </t>
  </si>
  <si>
    <t>90*1.28</t>
  </si>
  <si>
    <t>90*.125</t>
  </si>
  <si>
    <t>88*1.3</t>
  </si>
  <si>
    <t>88*1.25</t>
  </si>
  <si>
    <t>88*1.28</t>
  </si>
  <si>
    <t>85*1.3</t>
  </si>
  <si>
    <t>85*1.28</t>
  </si>
  <si>
    <t>85*1.25</t>
  </si>
  <si>
    <t>MGS314017000065</t>
  </si>
  <si>
    <t>MGS314017000066</t>
  </si>
  <si>
    <t>MGS314017030121</t>
  </si>
  <si>
    <t>MGS314017030120</t>
  </si>
  <si>
    <t>GSKT PRE CUT;P/N:39004872-06</t>
  </si>
  <si>
    <t>GSKT PRE CUT;P/N:32330-1819-6</t>
  </si>
  <si>
    <t>GSKT PRE CUT;FLOW PLATE,THK 5MM,NBR</t>
  </si>
  <si>
    <t>GSKT PRE CUT;END PLATE,THK 5MM,NBR</t>
  </si>
  <si>
    <t>PRE CUT GASKET
OEM PART NO:  39004872-06
VENDOR: ALFA LAVAL INDIA LTD
EQUIP/TAG MODE: TL10BFM
MNFR: ALFA LAVAL INDIA LIMITED
F/MDBFP LUBEOIL PHE HEAT EXCHANGER</t>
  </si>
  <si>
    <t>PRE CUT GASKET
OEM PART NO:  32330-1819-6
VENDOR: ALFA LAVAL INDIA LTD
EQUIP/TAG MODE: M15BFM
MNFR: ALFA LAVAL 
F/HEAT EXCHANGER</t>
  </si>
  <si>
    <t>PRE CUT GASKET
PRESSURE RATING: 10 BAR
MATERIAL: NITRILE BUTADIENE RUBBER
DIMENSIONS: THK 5 MM
TYPE: FLOW PLATE</t>
  </si>
  <si>
    <t>PRE CUT GASKET
PRESSURE RATING: 10 BAR
MATERIAL: NITRILE BUTADIENE RUBBER
DIMENSIONS: THK 5 MM
TYPE: END PLATE
EQUIP/TAG MODE: J107–MGS–1015</t>
  </si>
  <si>
    <t>MCV301036230315</t>
  </si>
  <si>
    <t>MESH;WLDW,LNGTH 5 X BREADTH 4M,WD 4 X</t>
  </si>
  <si>
    <t>MESH
TYPE: WELDED WIRE
DIMENSIONS: LENGTH 5 X BREADTH 4 M
WIRE SIZE: WD 4 X THK 2 MM
MESH SIZE: 6 X 40 MM
MATERIAL: SS
MATERIAL GRADE: 316
APPLICATION: CW SCREEN MESH</t>
  </si>
  <si>
    <t>MAC401726020269</t>
  </si>
  <si>
    <t>CPLG;CS,EH MAIN PMP;D:BAL/1200MW/TG/EW</t>
  </si>
  <si>
    <t>COUPLING 
MATERIAL: CARBON STEEL
APPLICATION: EH MAIN PUMP
EQUIP/TAG MODEL: MT6
DRAWING: BAL/1200MW/TG/EW/02</t>
  </si>
  <si>
    <t>MHW311630130341</t>
  </si>
  <si>
    <t>CPLG SHFT;2.36.10;BOOSTR PMP</t>
  </si>
  <si>
    <t>COUPLING SHAFT 
APPLICATION: BOOSTER PUMP
REFERENCE NO: 2.36.10</t>
  </si>
  <si>
    <r>
      <rPr>
        <u/>
        <sz val="10"/>
        <rFont val="Calibri"/>
        <family val="2"/>
        <scheme val="minor"/>
      </rPr>
      <t>Terms &amp; Conditions</t>
    </r>
    <r>
      <rPr>
        <sz val="10"/>
        <rFont val="Calibri"/>
        <family val="2"/>
        <scheme val="minor"/>
      </rPr>
      <t xml:space="preserve">
Offer Basis FOR Plant basis.
Delivery Time: 12 weeks from date of receipt of confirm PO
G/Warranty: 12 months from date of DISPATCH - only for manufacturing defects
Payment Terms: 100% alongwith taxes etc. against PI.
Offer Validity: 31 days from date of offer.
Any statutory changes in rate of tax etc. will be applicable as on date of dispatch.
Minimum Order Qty.: N/A
Standard packaging will be done for supply of above items.
100% fitment &amp; interchangeability of offered products. In case of any discrepancy, we will replace items promptly for free of cost. </t>
    </r>
  </si>
  <si>
    <t>MAC401018510931</t>
  </si>
  <si>
    <t>SEAL;PN:410.01;PRFL,PRE GRPHT,BOILR FD</t>
  </si>
  <si>
    <t>SEAL 
TYPE: PROFILE
MATERIAL: PURE GRAPHITE
APPLICATION: BOILER FEED PUMP
VENDOR:  SPEM CHINA
OEM PART NO:  410.01
VENDOR:  SULZER 
EQUIP/TAG MODE: HPT350-370-6S
DRAWING: 4-204.230793 
POS: 410. 01
DRAWING: 0-104.422.3707(1/3) 
POS: 410. 01</t>
  </si>
  <si>
    <t>MAC401018510932</t>
  </si>
  <si>
    <t>SEAL;PN:410.02;PRFL,PRE GRPHT,BOILR FD</t>
  </si>
  <si>
    <t>MAC401018510933</t>
  </si>
  <si>
    <t>SEAL;HPT350-370-6S;PRFL,PURE GRPHT,BOILR</t>
  </si>
  <si>
    <t>SEAL
TYPE: PROFILE 
MATERIAL: PURE GRAPHITE
APPLICATION: BOILER FEED PUMP
VENDOR:  SPEM, CHINA
VENDOR: SULZER 
EQUIP/TAG MODE: HPT350-370-6S
DRAWING: 4—204.241,815
POS: 410. 03 
DRAWING: 0-104.422.3707(1/3)</t>
  </si>
  <si>
    <t>MAC401018510991</t>
  </si>
  <si>
    <t>SEAL;PRFL,PRE GRPHT,BOILR FD PMP;4-204</t>
  </si>
  <si>
    <t>SEAL 
TYPE: PROFILE
MATERIAL: PURE GRAPHITE 
APPLICATION: BOILER FEED PUMP 
VENDOR:  SPEM CHINA 
VENDOR: SULZER 
EQUIP/TAG MODE: HPT350-370-6S 
DRAWING: 4-204.235.138 
POS: 410. 04
DRAWING: 0-104.422.3707(1/3)</t>
  </si>
  <si>
    <t>MAC401018510963</t>
  </si>
  <si>
    <t>SEAL
TYPE: PROFILE
MATERIAL: PURE GRAPHITE
APPLICATION: BOILER FEED PUMP 
VENDOR:  SPEM, CHINA
VENDOR: SULZER 
EQUIP/TAG MODE: HPT350-370-6S
DRAWING: 4-204.230.795 
POS: 410. 05
DRAWING: 0-104.422.3707(1/3)</t>
  </si>
  <si>
    <t>SEAL
TYPE: PROFILE 
MATERIAL: PURE GRAPHITE
APPLICATION: BOILER FEED PUMP
VENDOR:  SPEM CHINA
OEM PART NO:  410.02
VENDOR:  SULZER
EQUIP/TAG MODE: HPT350-370-6S
DRAWING: 4—204.230794
POS: 410.02 
DRAWING: 0-104.422.3707(1/3)
POS: 410.02</t>
  </si>
  <si>
    <t>MHW311630130833</t>
  </si>
  <si>
    <t>CPLG SHFT;M:YOX280A;HYD,CLNKR GRNDR</t>
  </si>
  <si>
    <t>COUPLING SHAFT
TYPE: HYDRAULIC
APPLICATION: CLINKER GRINDER
MODEL/MACHINE NO: YOX280A
MAKE : TEL</t>
  </si>
  <si>
    <t xml:space="preserve"> MMM201016170161</t>
  </si>
  <si>
    <t>MOTOR GEARD;PN:MR700F-N1N1N1S1NX1000</t>
  </si>
  <si>
    <t>GEARED MOTOR
VOLTAGE RATING : 415 V AC POWER RATING: 37 KW PHASEQUANTITY: 3PH
INPUT SPEED: 1480 RPM
OEM PART NO: MR700F -N1N1N1S1NX1000/65519 MAKE: PARKER HANNIFIN CORP</t>
  </si>
  <si>
    <t xml:space="preserve">NO </t>
  </si>
  <si>
    <t xml:space="preserve"> MHW311630130380</t>
  </si>
  <si>
    <t>CPLG SHFT;HYD, DRV,SHFT</t>
  </si>
  <si>
    <t>COUPLING SHAFT
TYPE: HYDRAULIC DRIVE
APPLICATION: SHAFT
EQUIP/TAG MODEL: YOCQ422/I
MANUFACTURER : SHENYANG PUMP CO LTD</t>
  </si>
  <si>
    <t>MHW311630130671</t>
  </si>
  <si>
    <t>CPLG SHFT;R:2.35.17;BLR FEED PMP,SAFT</t>
  </si>
  <si>
    <t>COUPLING SHAFT
APPLICATION: BOILER FEED PUMP
SPECIFICATION : SAFT
REFERENCE NO: 2.35.17</t>
  </si>
  <si>
    <t>MAC401016041485</t>
  </si>
  <si>
    <t>FAN ELEC;M:FD590/150-1260SFTH;RFRGRNT</t>
  </si>
  <si>
    <t>ELECTRIC FAN
TYPE: REFRIGERANT COOLING
DIAMETER: 151.5 MM
SPEED: 1000 RPM
VOLTAGE RATING: 240 V AC
POWER RATING: 90 W
AIR FLOWCAPACITY: 1260 M3/H
MODEL/MACHINE NO: FD590/150-1260 SFTH EQUIP/TAGMODEL: DCB9-2500/22
DRAWING: STEAG-TSPL-O&amp;M -K-1
FOR EXCITATION TRANSFORMER</t>
  </si>
  <si>
    <t>MMT311716000052</t>
  </si>
  <si>
    <t>BUSH;CPLNG;B-6A</t>
  </si>
  <si>
    <t>BUSH
APPLICATION: COUPLING
VENDOR: FENNER
EQUIP/TAG MODE: B-6A</t>
  </si>
  <si>
    <t>MMT311716090263</t>
  </si>
  <si>
    <t>BUSH;CPLNG;W/PIN;BC2A</t>
  </si>
  <si>
    <t>BUSH
APPLICATION : COUPLING
EQUIP/TAG MODE : BC2A
MNFR: FENNER
W/PIN</t>
  </si>
  <si>
    <t>Madnsales</t>
  </si>
  <si>
    <t>20% discount to be applied on mentioned prices</t>
  </si>
  <si>
    <t>MAC401417320037</t>
  </si>
  <si>
    <t>SPIDER,COUPLING,TYPE:L-110</t>
  </si>
  <si>
    <t>SPIDER
APPLICATION: FLEX COUPLING 
EQUIP/TAG MODEL :L-110
MANUFACTURER : LOVEJOY</t>
  </si>
  <si>
    <t>MHW311630100138</t>
  </si>
  <si>
    <t>SPDR;L190;CPLNG,RBR,JAW</t>
  </si>
  <si>
    <t>SPIDER
TYPE: COUPLING
MATERIAL: RUBBER
APPLICATION: JAW
VENDOR: LOVEJOY
EQUIP/TAG MODE: L190</t>
  </si>
  <si>
    <t>MHW311630100151</t>
  </si>
  <si>
    <t>SPDR;M:KTR-24;JAW CPLNG</t>
  </si>
  <si>
    <t>SPIDER 
TYPE: JAW COUPLING
MODEL/MACHINE NO:  KTR-24 
VENDOR: ROTEX</t>
  </si>
  <si>
    <t>MHW311630100154</t>
  </si>
  <si>
    <t>SPDR;CPLNG,RBR;SW280</t>
  </si>
  <si>
    <t>SPIDER 
TYPE: COUPLING
MATERIAL: RUBBER
EQUIP/TAG MODE: SW280
MNFR: LOVEJOY</t>
  </si>
  <si>
    <t>PAC</t>
  </si>
  <si>
    <t>MHW311630100186</t>
  </si>
  <si>
    <t>SPDR;L 225;JAW CPLNG;RBR;ID 2.625 X OD 5</t>
  </si>
  <si>
    <t>SPIDER
TYPE: JAW COUPLING
MATERIAL: RUBBER 
DIMENSIONS: ID 2.625 XOD 5
EQUIP/TAG MODE: L 225
MNFR: LOVEJOY"</t>
  </si>
  <si>
    <t>MHW311630110016</t>
  </si>
  <si>
    <t>CPLG;PN:SW280;DRV, JAW</t>
  </si>
  <si>
    <t>COUPLING
TYPE: DRIVE  JAW
MANUFACTURER PART NO:  SW280
VENDOR: LOVEJOY</t>
  </si>
  <si>
    <t>MHW311630130368</t>
  </si>
  <si>
    <t>CPLG SHFT;M:FGC101/WMI/CH3;FULL GEAR,20</t>
  </si>
  <si>
    <t>COUPLING SHAFT
TYPE: FULL GEAR, BORE  
DIAMETER: 20-40 MM
MATERIAL:CAST  STEEL GR C55MN75
APPLICATION: GEARBOX  SHAFT
VENDOR:  WMI
MODEL/MACHINE NO: FGC101/WMI/CH3</t>
  </si>
  <si>
    <t>MHW311630130369</t>
  </si>
  <si>
    <t>CPLG SHFT;M:HGC 101,CH3;HLF GEAR,20MM</t>
  </si>
  <si>
    <t>COUPLING SHAFT
TYPE: HALF GEAR, BORE 
DIAMETER: 20 MM
VENDOR:  WMI
MODEL/MACHINE NO:  HGC 101
REFERENCE  NO:  CH3</t>
  </si>
  <si>
    <t>MHW311630130370</t>
  </si>
  <si>
    <t>CPLG SHFT;M:HGC 102,CH3;HLF GEAR,30MM</t>
  </si>
  <si>
    <t>COUPLING  SHAFT
TYPE: HALF GEAR
BORE  DIAMETER: 30 MM
VENDOR:  WMI
MODEL/MACHINE NO:  HGC 102
REFERENCE  NO:  CH3</t>
  </si>
  <si>
    <t>MHW311630130371</t>
  </si>
  <si>
    <t>CPLG SHFT;M:HGC 103,CH3;HLF GEAR,40MM</t>
  </si>
  <si>
    <t>COUPLING SHAFT
TYPE: HALF GEAR
BORE  DIAMETER: 40 MM 
VENDOR: WMI
MODEL/MACHINE NO:  HGC 103
REFERENCE  NO:  CH3</t>
  </si>
  <si>
    <t>MHW311630130514</t>
  </si>
  <si>
    <t>CPLG SHFT;SR-250 CLASS-II.;DRV FLTNG;10</t>
  </si>
  <si>
    <t>COUPLING SHAFT
APPLICATION: DRIVE  FLOATING
EQUIP/TAG MODE:456-3.0-04 
MNFR: PAHARPUR COOLING TOWERS LTD 
REFERENCE NO:  SR-250CLASS-II. 
DRAWING: 10-2I-0082/G/01</t>
  </si>
  <si>
    <t>MHW311630130622</t>
  </si>
  <si>
    <t>CPLG;PN:RB178/6;PIN BSH,PMP SD SHFT DIA</t>
  </si>
  <si>
    <t>COUPLING
TYPE: PIN BUSH
DIMENSIONS: PUMP SIDE SHAFT DIA: 39 
MOTOR SIDE SHAFT DIA : 75 MM
MATERIAL: C.I. IS 210 GR. FG 200
APPLICATION: FWPH-III JOCKEY PUMPS
MANUFACTURER PART NO: RB178/6
MANUFACTURER:  WILO MATHER &amp; PLATT
EQUIP/TAG MODEL:  P-631-A/</t>
  </si>
  <si>
    <t>MHW311630130802</t>
  </si>
  <si>
    <t>CPLG SHFT HALF;PN:FGC3;DRV, GEARD</t>
  </si>
  <si>
    <t xml:space="preserve">COUPLING SHAFT HALF
TYPE: DRIVE GEARED
MANUFACTURER PART NO:  FGC3
</t>
  </si>
  <si>
    <t>MHW311630130933</t>
  </si>
  <si>
    <t>CPLG SHFT;M:FGC 102,CH3;FULL GEAR,30</t>
  </si>
  <si>
    <t>COUPLING SHAFT
TYPE: FULL GEAR
BORE  DIAMETER: 30-55 MM
OUTSIDEDIAMETER:  185 MM
VENDOR:  WMI
MODEL/MACHINE  NO :FGC 102
REFERENCE NO:  CH3</t>
  </si>
  <si>
    <t>MHW311630131020</t>
  </si>
  <si>
    <t>CPLG SHFT;PN:RB 198 10/1;PIN&amp;BUSH,198MM</t>
  </si>
  <si>
    <t>COUPLING SHAFT
TYPE: PIN AND BUSH
OUTSIDE DIAMETER: 198 MM
MATERIAL : STEEL
APPLICATION: PUMP
MANUFACTURER  PART NO:  RB 19810/1
MANUFACTURER:  LOVEJOY 
EQUIP/TAG MODEL:  12LN14
MANUFACTURER: WPIL</t>
  </si>
  <si>
    <t>MHW311630131844</t>
  </si>
  <si>
    <t>COUPLING,DRIVE,JAW,CI GR.GG25, ROTEX-24</t>
  </si>
  <si>
    <t>COUPLING SHAFT FLEXIBLE
TYPE: JAW 
LENGTH: 78 MM
MATERIAL: CASTIRON -GG25
MODEL/MACHINE NO: ROTEX-24
MNFR: KTR COUPLINGS (I) PVTLTD</t>
  </si>
  <si>
    <t>MHW311630100004</t>
  </si>
  <si>
    <t>SPDR;CPLNG;F 095</t>
  </si>
  <si>
    <t>SPIDER
APPLICATION: COUPLING
EQUIP/TAG MODE: F 095 
MNFR: FENNER</t>
  </si>
  <si>
    <t>MHW311630100056</t>
  </si>
  <si>
    <t>SPDR;SW 150;SNP WRP;CPLNG</t>
  </si>
  <si>
    <t>SPIDER
TYPE: SNAP WRAP
APPLICATION: COUPLING
VENDOR: LOVEJOY
REFERENCE NO: SW 150</t>
  </si>
  <si>
    <t>MHW311630100236</t>
  </si>
  <si>
    <t>SPDR;FLXBL CPLNG;C-276</t>
  </si>
  <si>
    <t>SPIDER
TYPE: FLEXIBLE COUPLING
VENDOR: RATHI TRANSPOWER PVT LTD
EQUIP/TAG MODE: C-276
MNFR: LOVEJOY</t>
  </si>
  <si>
    <t>Steel O Fab Engineers</t>
  </si>
  <si>
    <t>Steel O Fab Engineers - Disocunted</t>
  </si>
  <si>
    <t>APV ENTERPRISES</t>
  </si>
  <si>
    <t>Discount</t>
  </si>
  <si>
    <t>Final Price</t>
  </si>
  <si>
    <t>Steel-O-Fab</t>
  </si>
  <si>
    <t>APV Enterprises</t>
  </si>
  <si>
    <t>MHW311630132472</t>
  </si>
  <si>
    <t>CPLG;CS,BFP MTOR TO HC;D:BAL/540/TG/134</t>
  </si>
  <si>
    <t>COUPLING
MATERIAL: CARBON STEEL
APPLICATION: BFP MOTOR TO HC
EQUIP/TAG MODEL: 50CHTA/5SP2
DRAWING: BAL/540/TG/134
POS: 1,2,3,4,5
COUPLING INCLUDES BOTH ENDS NUT AND BOLTS WITH SPRING WASHER AND MOTOR SIDE COUPLING TEFLON WASHER BOTH END MULTI D</t>
  </si>
  <si>
    <t xml:space="preserve">Set </t>
  </si>
  <si>
    <t>MAC401416169268</t>
  </si>
  <si>
    <t>SHFT;RND,65MM,1750MM,ALY STL,1CR18NI9</t>
  </si>
  <si>
    <t>SHAFT
TYPE: ROUND
OVER ALL DIAMETER:  65 MM
LENGTH: 1750 MM
MATERIAL:  ALLOY STEEL
MATERIAL GRADE: 1CR18NI9
APPLICATION: CRHNRV</t>
  </si>
  <si>
    <t>MAC401516070032</t>
  </si>
  <si>
    <t>COMPRSR REFRGRTN;M:SRC-S-553W-14;RTRY</t>
  </si>
  <si>
    <t>COMPRESSOR REFRIGERATION
TYPE: ROTARY 
FLOW RATE: 600 M3/H
VOLTAGE: 415 V
MODEL/MACHINE NO:  SRC-S-553W-14
VENDOR: SHENLING
COOLING CAPACITY:  56 TO</t>
  </si>
  <si>
    <t>MMT311715050882</t>
  </si>
  <si>
    <t>BRNG ROLR;PN:AXK5578;NDL,THRST,STL,55MM</t>
  </si>
  <si>
    <t>BEARING  ROLLER
TYPE: NEEDLE THRUST, CAGE 
MATERIAL: STEEL
INSIDE DIAMETER: 55 MM
OUTSIDE DIAMETER: 78 MM
WIDTH: 3 MM
LOAD CAPACITY: DYNAMIC: 34.5
STATIC: 186 KN
SPEED: 4300 RPM
MANUFACTURER PART NO:  AXK5578
VENDOR:  SKF</t>
  </si>
  <si>
    <t>MMT311715410099</t>
  </si>
  <si>
    <t>BRNG ROLR;R:RN 206 M;ECCNTRC CYLNDRCL</t>
  </si>
  <si>
    <t>BEARING ROLLER
TYPE: ECCENTRIC  CYLINDRICAL
CAGE MATERIAL: BRASS
INSIDE DIAMETER: 30 MM,
OUTSIDE  DIAMETER: 53.5 MM
WIDTH: 16 MM
REFERENCE NO:  RN 206 M</t>
  </si>
  <si>
    <t>Bid Accepted</t>
  </si>
  <si>
    <t>ROTR;PA FAN;D:S0GA3067</t>
  </si>
  <si>
    <t>ROTR;FD FAN;D:2008-114</t>
  </si>
  <si>
    <t>MTP251717050204</t>
  </si>
  <si>
    <t>MTP251717050205</t>
  </si>
  <si>
    <t>ROTOR
APPLICATION: PA FAN
EQUIP/TAG MODEL: PAF18-13.3-2
DRAWING: S0GA3067
MANUFACTURER: SHANGHAI BLOWER WORKS CO LIMITED,CHINA
WITH IMPELLER</t>
  </si>
  <si>
    <t>ROTOR
APPLICATION: FD FAN
EQUIP/TAG MODEL: FAF 19-10-1
DRAWING: 2008-114
MANUFACTURER: SHANGHAI BLOWER WORKS CO LIMITED,CHINA 
WITH IMPELLER</t>
  </si>
  <si>
    <t>MAC401726030015</t>
  </si>
  <si>
    <t>MAC401517000072</t>
  </si>
  <si>
    <t>MGE261115310131</t>
  </si>
  <si>
    <t>MGE261115310133</t>
  </si>
  <si>
    <t>MAC401517000070</t>
  </si>
  <si>
    <t>MGE261115310134</t>
  </si>
  <si>
    <t>MAC401517280268</t>
  </si>
  <si>
    <t>MAC401517281237</t>
  </si>
  <si>
    <t>MAC401517000073</t>
  </si>
  <si>
    <t>MHW311630130913</t>
  </si>
  <si>
    <t>MFS461715050110</t>
  </si>
  <si>
    <t>MFS461715050104</t>
  </si>
  <si>
    <t>MFS461715050103</t>
  </si>
  <si>
    <t>MFS461715050111</t>
  </si>
  <si>
    <t>MFS461715050101</t>
  </si>
  <si>
    <t>MFS461715050105</t>
  </si>
  <si>
    <t>MHW311616200979</t>
  </si>
  <si>
    <t>MHW311616200980</t>
  </si>
  <si>
    <t>MHW311628140069</t>
  </si>
  <si>
    <t>CPLG;PN:C720 LLL-0111-B;CI GR HT250,CEP</t>
  </si>
  <si>
    <t>SLV;PN:C720 LLL-0206A;STEEL GR</t>
  </si>
  <si>
    <t>SLV;PN:C720 -0104A;C720III-4;SHFT;BRNG</t>
  </si>
  <si>
    <t>SLV;PN:C720 -0104D;BRNG SHFT,SS,CNDNST</t>
  </si>
  <si>
    <t>SLV;PN:C720 -0113;STOP,SS,CNDNST EXTRCTN</t>
  </si>
  <si>
    <t>SLV;PN:C720 -0114;SHFT,SS,1CR18NI9;TALW</t>
  </si>
  <si>
    <t>BELL;PN:C720-0202;SCTN;TALW-X-SEPEC-XXX</t>
  </si>
  <si>
    <t>BRNG;PN:C720 -0204A;CNDNST EXTRCTN PMP</t>
  </si>
  <si>
    <t>SLV;PN:C720 -0206;PRTCT,STEEL GR</t>
  </si>
  <si>
    <t>CPLG;PN:CB38-83-19-130;CI GR HT250;TALW</t>
  </si>
  <si>
    <t>KEY;TALW-X-SEPEC-XXX-BX-0502(04),74</t>
  </si>
  <si>
    <t>KEY;TALW-X-SEPEC-XXX-BX-0502(04),75</t>
  </si>
  <si>
    <t>KEY;TALW-X-SEPEC-XXX-BX-0502(04),76</t>
  </si>
  <si>
    <t>KEY;PN:GB/T 1096 2003;CS,45,CEP;TALW-X</t>
  </si>
  <si>
    <t>KEY;TALW-X-SEPEC-XXX-BX-0502(04),78</t>
  </si>
  <si>
    <t>KEY;TALW-X-SEPEC-XXX-BX-0502(04),79</t>
  </si>
  <si>
    <t>BLT MACH;PN:GB/T 5872 M36X200;C720III-4</t>
  </si>
  <si>
    <t>BLT MACH;PN:GB/T 5783 M24X100;C720III-4</t>
  </si>
  <si>
    <t>NUT;PN:GB/T 6170 M42;C720III-4;STL;Q235</t>
  </si>
  <si>
    <t>3</t>
  </si>
  <si>
    <t>COUPLING; MATERIAL: CAST IRON GR HT250,  APPLICATION: CEP MOTOR; OEMPART NO:  C720 LLL-0111-B, VENDOR:  HUNAN  NEPTUNE PUMP CO LTD,EQUIP/TAG MODE:  C720III-4; DRAWING: TALW-X-SEPEC-XXX -BX-0502(04)</t>
  </si>
  <si>
    <t>SLEEVE; MATERIAL: STEEL GR ZCUSN10ZN2;  OEM PART NO:  C720 LLL-0206A,VENDOR:  HUNAN NEPTUNE PUMP CO LTD, EQUIP/TAG  MODE: C720III-4;DRAWING: TALW-X-SEPEC -XXX-BX-0502(04), POS: 9; PROTECT  SLEEVE FORCEP</t>
  </si>
  <si>
    <t>SLEEVE; TYPE: SHAFT; BEARING; DOWN; MATERIAL: STAINLESS STEEL;APPLICATION: CONDENSATE EXTRACTION PUMP; MATERIAL GRADE: 1CR18NI9; OEM PART NO:  C720 -0104A; VENDOR:  HUNAN NEPTUNE PUMP CO LTD; EQUIP/TAGMODE: C720III-4; DRAWING: TALW-X-SEPEC-XXX-BX-0502(04)</t>
  </si>
  <si>
    <t xml:space="preserve">SLEEVE; TYPE: BEARING SHAFT, MATERIAL:  STAINLESS STEEL, APPLICATION: CONDENSATE EXTRACTION PUMP, MATERIAL  GRADE: 1CR18NI9; OEM PART NO: C720 -0104D, VENDOR:  HUNAN NEPTUNE PUMP CO  LTD, EQUIP/TAG MODE:C720III-4;  DRAWING: TALW-X-SEPEC-XXX-BX-0502(04),  </t>
  </si>
  <si>
    <t>SLEEVE; TYPE: STOP, MATERIAL: STAINLESS  STEEL, APPLICATION:CONDENSATE  EXTRACTION PUMP, MATERIAL GRADE:  1CR18NI9; OEM PART NO: C720 -0113,  VENDOR:  HUNAN NEPTUNE PUMP CO LTD,  EQUIP/TAG MODE:C720III-4; DRAWING:  TALW-X-SEPEC-XXX-BX-0502(04), POS: 30</t>
  </si>
  <si>
    <t>SLEEVE; TYPE: SHAFT, MATERIAL:  STAINLESS STEEL, MATERIAL GRADE: 1CR18NI9; OEM PART NO:  C720 -0114,  VENDOR:  HUNAN NEPTUNE PUMP COLTD,  EQUIP/TAG MODE: C720III-4; DRAWING: TALW-X-SEPEC-XXX-BX-0502(04), POS: 31</t>
  </si>
  <si>
    <t>BELL; TYPE: SUCTION; OEM PART NO:  C720 -0202, VENDOR:  CHANGSHA PUMPWORKS CO  LTD, EQUIP/TAG MODE: C720III-4;  DRAWING:TALW-X-SEPEC-XXX-BX-0502 (04) , POS: 33; MATERIAL: GREY CAST IRON GR HT250, F/CEP</t>
  </si>
  <si>
    <t>BEARING; APPLICATION: CONDENSATE  EXTRACTION PUMP; OEM PART NO:  C720-0204A, VENDOR:  HUNAN NEPTUNE PUMP CO  LTD, EQUIP/TAG MODE:C720III-4;  DRAWING: TALW-X-SEPEC-XXX-BX-0502(04),  POS: 35</t>
  </si>
  <si>
    <t>SLEEVE; TYPE: PROTECT, MATERIAL: STEEL  GR ZCUSN10ZN2, APPLICATION:CONDENSATE  EXTRACTION PUMP; OEM PART NO:  C720 -0206, VENDOR:  HUNANNEPTUNE PUMP CO  LTD, EQUIP/TAG MODE: C720III-4;  DRAWING:TALW-X-SEPEC-XXX-BX-0502(04),  POS: 40</t>
  </si>
  <si>
    <t>COUPLING, SHAFT HALF; MATERIAL: CAST  IRON GR HT250; OEM PART NO: CB38-83 -19-130, VENDOR:  HUNAN NEPTUNE PUMP CO  LTD, EQUIP/TAG MODE:C720III-4;  DRAWING: TALW-X-SEPEC-XXX-BX-0502(04);  FOR PUMP OF CEP</t>
  </si>
  <si>
    <t>KEY; MATERIAL: CARBON STEEL, MATERIAL  GRADE: 45, APPLICATION: CEP;OEM PART  NO:  GB/T 1096 2003, VENDOR:  HUNAN  NEPTUNE PUMP CO LTD,EQUIP/TAG MODE:  C720III-4; DRAWING: TALW-X-SEPEC-XXX -BX-0502(04),POS: 74</t>
  </si>
  <si>
    <t>KEY; MATERIAL: CARBON STEEL, MATERIAL  GRADE: 45, APPLICATION: CEP;OEM PART  NO:  GB/T 1096 2003, VENDOR:  HUNAN  NEPTUNE PUMP CO LTD,EQUIP/TAG MODE:  C720III-4; DRAWING: TALW-X-SEPEC-XXX -BX-0502(04),POS: 75</t>
  </si>
  <si>
    <t>KEY; MATERIAL: CARBON STEEL, MATERIAL  GRADE: 45, APPLICATION: CEP;OEM PART  NO:  GB/T 1096 2003, VENDOR:  HUNAN  NEPTUNE PUMP CO LTD,EQUIP/TAG MODE:  C720III-4; DRAWING: TALW-X-SEPEC-XXX -BX-0502(04),POS: 76</t>
  </si>
  <si>
    <t>KEY; MATERIAL: CARBON STEEL, MATERIAL  GRADE: 45, APPLICATION: CEP;OEM PART  NO:  GB/T 1096 2003, VENDOR:  HUNAN  NEPTUNE PUMP CO LTD,EQUIP/TAG MODE:  C720III-4; DRAWING: TALW-X-SEPEC-XXX -BX-0502(04),POS: 77</t>
  </si>
  <si>
    <t>KEY; MATERIAL: CARBON STEEL, MATERIAL  GRADE: 45, APPLICATION: CEP;OEM PART  NO:  GB/T 1096 2003, VENDOR:  HUNAN  NEPTUNE PUMP CO LTD,EQUIP/TAG MODE:  C720III-4; DRAWING: TALW-X-SEPEC-XXX -BX-0502(04),POS: 78</t>
  </si>
  <si>
    <t>KEY; MATERIAL: CARBON STEEL, MATERIAL  GRADE: 45, APPLICATION: CEP;OEM PART  NO:  GB/T 1096 2003, VENDOR:  HUNAN  NEPTUNE PUMP CO LTD,EQUIP/TAG MODE:  C720III-4; DRAWING: TALW-X-SEPEC-XXX -BX-0502(04),POS: 79</t>
  </si>
  <si>
    <t>BOLT; MACHINE; HEAD STYLE: HEXAGONAL; MATERIAL: STAINLESS STEEL;MATERIAL GRADE: 3CR13; OEM PART NO:  GB/T 5872 M36X200; VENDOR:  CHANGSHA PUMP WORKS CO LTD; EQUIP/TAG MODE: C720III-4; DRAWING:TALW-X-SEPECXXX-BX-0502 (04) ; POS: 91; F/CEP</t>
  </si>
  <si>
    <t>BOLT; MACHINE; HEAD STYLE: HEXAGONAL; MATERIAL: CARBON STEEL; MATERIALGRADE: 45; OEM PART NO:  GB/T 5783 M24X100; VENDOR:  CHANGSHA  PUMPWORKS CO LTD; EQUIP/TAG MODE: C720III-4; DRAWING:TALW-X-SEPEC-XXXBX-0502 (04); POS: 92; F/CEP</t>
  </si>
  <si>
    <t>NUT; MATERIAL: STEEL; MATERIAL GRADE: Q235-A; APPLICATION: CEP; OEMPART NO:  GB/T 6170 M42; VENDOR:  CHANGSHA PUMP WORKS CO LTD; EQUIP/TAG MODE: C720III-4; DRAWING: TALW-X-SEPEC-XXX-BX-0502 (04); POS:93</t>
  </si>
  <si>
    <t>Skilfab</t>
  </si>
  <si>
    <t>Diaphragm Coupling</t>
  </si>
  <si>
    <t>Diaphragm Coupling
Make- SHANGHAI BLOWER WORKS</t>
  </si>
  <si>
    <t>Volza</t>
  </si>
  <si>
    <t>Olivia</t>
  </si>
  <si>
    <t>Export packaging costs 289USD
Total Price 11406USD+289USD=11695USD</t>
  </si>
  <si>
    <t>Base price * Qty</t>
  </si>
  <si>
    <t>Export Packing Charges inclusion</t>
  </si>
  <si>
    <t xml:space="preserve">1) P&amp;F :- 3% shall be applicable on the basic order value
2) FREIGHT :- Freight shall be charged extra as actual
3) PAYMENT TERMS :- 40% advance against PI &amp; rest before Dispatch
4) DELIVERY TIME :- Mentioned Above from the date of Receiving of Formal PO &amp; Advance.
5) VALIDITY :- 30 Days
6) GST :- 18% Extra
7) Note:- Transit Insurance of material will be in Customer/Buyer scope. </t>
  </si>
  <si>
    <t>Trident Precision International</t>
  </si>
  <si>
    <t>Hq Shanghai</t>
  </si>
  <si>
    <t>MGS314098010929</t>
  </si>
  <si>
    <t>GSKT RNG JNT;1,CRCLR,SS,420MM,1MM,494MM</t>
  </si>
  <si>
    <t>GASKET, RING JOINT; RING NUMBER: 1,  CROSS-SECTIONAL SHAPE: CIRCULAR, MATERIAL: STAINLESS STEEL, NOMINAL  FLANGE SIZE: 420 MM, THICKNESS: 1MM,  OUTSIDE DIAMETER: 494 MM, INSIDE  DIAMETER: 446 MM, PRESSURERATING: 300  BAR, MATERIAL GRADE: 316L; FOR  INTERM</t>
  </si>
  <si>
    <t>MGS314098010931</t>
  </si>
  <si>
    <t>GSKT RNG JNT;1,CRCLR,SS,210MM,1MM,310MM</t>
  </si>
  <si>
    <t>GASKET, RING JOINT; RING NUMBER: 1,  CROSS-SECTIONAL SHAPE: CIRCULAR, MATERIAL: STAINLESS STEEL, NOMINAL  FLANGE SIZE: 210 MM, THICKNESS: 1MM,  OUTSIDE DIAMETER: 310 MM, INSIDE  DIAMETER: 242 MM, PRESSURERATING: 300  BAR, MATERIAL GRADE: 316L; FOR HIGH  P</t>
  </si>
  <si>
    <t>MGE261115243309</t>
  </si>
  <si>
    <t>GEAR;PN:FZ153.1-1-260G;MAIN,WGN TPPLR</t>
  </si>
  <si>
    <t>GEAR
TYPE: MAIN
APPLICATION: WAGON  TIPPLER MAIN CRADDLE GEAR(PRIMARY  GEAR)
OEM PART NO:  FZ153.1-1-260G
OEM:  SEPCO,EQUIP/TAG MODEL :  21201395</t>
  </si>
  <si>
    <t>MGE261115243310</t>
  </si>
  <si>
    <t>GEAR &amp; SHFT ASSY HLCL;PN:FZ153A.8-1-307</t>
  </si>
  <si>
    <t>GEAR AND SHAFT ASSEMBLY
OEM PART NO: FZ153A.8-1-307
OEM: WUHANRENYUE  THERMAL TECHNOLOGY PRODUCTS CO., LTD
EQUIP/TAG MODEL: 21201395
FOR WAGON  TIPPLER DRIVE ARRANGEMENT GEAR  COUPLING</t>
  </si>
  <si>
    <t>MHW311627020674</t>
  </si>
  <si>
    <t>WHL;TRVLLNG,450MM;D:DZ11.9-367</t>
  </si>
  <si>
    <t>WHEEL
TYPE: TRAVELLING
OUTSIDE  DIAMETER: 450 MM
DRAWING:DZ11.9-367 
REV: A  FOR SIDE ARM CHARGER</t>
  </si>
  <si>
    <t>MHW311627020676</t>
  </si>
  <si>
    <t>WHL;SPG,FRNT TRVLLNG,450MM;D:DZ11.10-367</t>
  </si>
  <si>
    <t>WHEEL
TYPE: SPRING
FRONT TRAVELLING
OUTSIDE DIAMETER: 450 MM
DRAWING:  DZ11.10-367
FOR SIDE ARM CHARGER</t>
  </si>
  <si>
    <t>MHW311630260005</t>
  </si>
  <si>
    <t>CPLG;PN:FZ153A.8.2-307;PIN,NYLN,WGN</t>
  </si>
  <si>
    <t>COUPLING
TYPE: PIN
MATERIAL: NYLON
APPLICATION: WAGON TIPPLER AND WITH  ADDITIONAL TWO SETS OF PINS
OEM PART  NO:  FZ153A.8.2-307
OEM: SEPCO
EQUIP/TAG MODEL:  21201395
WITH BRAKE  WHEEL</t>
  </si>
  <si>
    <t>MMT311715191678</t>
  </si>
  <si>
    <t>BRNG PLMR BLCK;PN:FZ150.5.4A;WT DRV</t>
  </si>
  <si>
    <t>BEARING PLUMMER BLOCK
APPLICATION: WT  DRIVE ARRANGEMENT SHAFT BEARING BASE
OEM PART NO:  FZ150.5.4A
OEM:  WUHAN  RENYUE THERMAL TECHNOLOGY PRODUCTS CO. , LTD, 
EQUIP/TAG MODEL:  21201395
WITH  BOLTASSEMBLY</t>
  </si>
  <si>
    <t>MMT311717100138</t>
  </si>
  <si>
    <t>PNION;PN:DZ11.6-3-225;GEAR,SD ARM CHRGR</t>
  </si>
  <si>
    <t>PINION
TYPE: GEAR
APPLICATION: SIDE  ARM CHARGER SMALL GEAR(PINION)
OEM  PART NO:  DZ11.6-3-225
OEM:  SEPCO
EQUIP/TAG MODEL:  21201367</t>
  </si>
  <si>
    <t>MMT311717100139</t>
  </si>
  <si>
    <t>PNION;PN:FZ153.5-1B;SML GEAR,WT DRV</t>
  </si>
  <si>
    <t>PINION
TYPE: SMALL GEAR
APPLICATION:  WT DRIVE ARRANGEMENT PINION SPECIFICATION: (MATERIAL GRADE -  40CR)
OEM PART NO:  FZ153.5-1B
OEM:  WUHAN RENYUE THERMAL TECHNOLOGY  PRODUCTS CO., LTD, 
EQUIP/TAGMODEL:  21201395</t>
  </si>
  <si>
    <t>MMT311718000053</t>
  </si>
  <si>
    <t>WHL ASSY;PN:FZ223.9.1-496;FLAT SPRT WHL</t>
  </si>
  <si>
    <t>WHEEL ASSEMBLY
APPLICATION: FLAT  SUPPORT WHEEL(WAGON TIPPLER) OEM PART  NO:  FZ223.9.1-496
OEM:  SEPCO
EQUIP/TAG MODEL:  21201395
WITH  COMPLETE WHOLE SHAFT ASSEMBLY</t>
  </si>
  <si>
    <t>MRW241017160820</t>
  </si>
  <si>
    <t>PULY CONVR;TURNABOUT,180MM,1800MM,800MM</t>
  </si>
  <si>
    <t>PULLEY CONVEYOR
TYPE: TURNABOUT
SHAFT DIAMETER: 180 MM
FACEWIDTH:  1800 MM
DRUM DIAMETER: 800 MM
MATERIAL: MILD STEEL MM
DRAWING:  PZII07B6182TWD
DRAWING: 37-FA10091S -M0403-01
POS: 26
MANUFACTURER:  SHANDONG SHANKUANG MACHINERY CO LTD;  FOR CON</t>
  </si>
  <si>
    <t>MRW241017160824</t>
  </si>
  <si>
    <t>PULY CONVR;TURNABOUT,160MM,1800MM,800MM</t>
  </si>
  <si>
    <t>PULLEY, CONVEYOR
TYPE: TURNABOUT
SHAFT DIAMETER: 160 MM
FACE WIDTH:  1800 MM
DRUM DIAMETER: 800 MM
MATERIAL: MILD STEEL MM
DRAWING:  PZII07B6162
DRAWING: 37-FA10091S -M0410-01
POS: 16
MANUFACTURER:  SHANDONG SHANKUANG MACHINERY CO LTD
FOR CONVEY</t>
  </si>
  <si>
    <t>MAC401615000128</t>
  </si>
  <si>
    <t>FLTR;PN:W.38.C.0069</t>
  </si>
  <si>
    <t>FILTER
OEM PART NO: W.38.C.0069
VENDOR: DONGFANG TURBINE CO LTD</t>
  </si>
  <si>
    <t>Noble Gasket</t>
  </si>
  <si>
    <t>HQ ShanghaiTotal</t>
  </si>
  <si>
    <t>Prices as per Bid</t>
  </si>
  <si>
    <t>Unit Price</t>
  </si>
  <si>
    <t>LOT</t>
  </si>
  <si>
    <t>DC motors</t>
  </si>
  <si>
    <t>Rahul Bhaiya</t>
  </si>
  <si>
    <t>22KW 1500RPM motor for Seal oil pump Air side</t>
  </si>
  <si>
    <t>5.5 KW 3000 RPM motor for Seal oil pump oil side</t>
  </si>
  <si>
    <t>40KW 2950 RPM DC EOP motor</t>
  </si>
  <si>
    <t>30KW 1500 RPM DC JOP motor</t>
  </si>
  <si>
    <t>MAC401417340383</t>
  </si>
  <si>
    <t>CPLG HOSE;KA 105;90MM;10366;F/NITRIL-KWS</t>
  </si>
  <si>
    <t>HOSE COUPLING
DIAMETER: 90 MM
REFERENCE NO:  KA 105 DRAWING:10366 
F/NITRIL-KWS</t>
  </si>
  <si>
    <t>MHW311630000122</t>
  </si>
  <si>
    <t>CPLG;DRV, QCK CNNCT,DN65,CST STL,HSE (SZ</t>
  </si>
  <si>
    <t>COUPLING
TYPE: DRIVE, QUICK CONNECT DIMENSIONS: DN65
MATERIAL: CAST STEEL
APPLICATION: HOSE (SIZE: DN 65) WORKING PRESSURE: 16 BAR, QUICK CLAW, GUILLEMIN COUPLING,W/HOSE SHANK, TAXMACO WAGON</t>
  </si>
  <si>
    <t>MHW311630000291</t>
  </si>
  <si>
    <t>CPLG;M:1R000428;QCK HSE;DN80;10354</t>
  </si>
  <si>
    <t>COUPLING
TYPE: QUICK HOSE
DIMENSIONS: DN 80
MODEL/MACHINE NO: 1R000428 DRAWING: 10354</t>
  </si>
  <si>
    <t>Doc4958075688</t>
  </si>
  <si>
    <t>MMT311715190516</t>
  </si>
  <si>
    <t>MMT311715010037</t>
  </si>
  <si>
    <t>HSG BRNG UNIT;SPLT, FBRCTD, PLMMR BLCK</t>
  </si>
  <si>
    <t>BRNG FLNG BLCK;PN:F210,PN:F-210;SET</t>
  </si>
  <si>
    <t>BEARING HOUSING UNIT
TYPE: SPLIT 
FABRICATED PLUMMER BLOCK
BORE  DIAMETER: 400 MM
BLOCK SIZE: 480 MM
MATERIAL: CARBON STEEL
BOLT MOUNTING:  4
BOLT DIAMETER: 38 MM
CRUSHER</t>
  </si>
  <si>
    <t>FLANGE BEARING BLOCK
MANUFACTURER PART NO:  F210
SET CONTAINS  BEARING AND ITS HOUSING
MILL CAPACITY  AIR DAMPER ASSEMBLY</t>
  </si>
  <si>
    <t>MHW311630130069</t>
  </si>
  <si>
    <t>CPLG SHFT;GEAR;SIZE: LFG 105</t>
  </si>
  <si>
    <t>COUPLING SHAFT
TYPE: GEAR
VENDOR: LOVEJOY
SIZE: LFG 105</t>
  </si>
  <si>
    <t>MHW311630130424</t>
  </si>
  <si>
    <t>CPLG SHFT;M:AFG102;FULL GEARD,HST</t>
  </si>
  <si>
    <t>COUPLING SHAFT
TYPE: FULL GEARED
APPLICATION: HOIST
VENDOR: FAFECO
MODEL/MACHINE NO:  AFG102</t>
  </si>
  <si>
    <t>MHW311630130478</t>
  </si>
  <si>
    <t>CPLG SHFT;FULL GEARD;B902-M1-00-33188/5</t>
  </si>
  <si>
    <t>COUPLING, SHAFT
TYPE: FULL GEARED
DRAWING: B902-M1-00-33188/5</t>
  </si>
  <si>
    <t>MHW311630130865</t>
  </si>
  <si>
    <t>CPLG SHFT FLXBL;PN:LFG103,1R000114;GEAR</t>
  </si>
  <si>
    <t>COUPLING, SHAFT FLEXIBLE
TYPE: GEAR
MANUFACTURER PART NO:  LFG103 VENDOR:  LOVEJOY
REFERENCE NO:  1R000114
DRAWING: 1-GA-0541-0731</t>
  </si>
  <si>
    <t>MHW311630132348</t>
  </si>
  <si>
    <t>CPLG SHFT;M:GD315.2;FLXBL,30MM,270-</t>
  </si>
  <si>
    <t xml:space="preserve">COUPLING, SHAFT
TYPE: FLEXIBLE
BORE  DIAMETER: 30 MM OUT SIDE DIAMETER: 270 - 315 MM
LENGTH: 145-153 MM
MATERIAL:  CAST IRON
MATERIAL GRADE: UNI EN 1563 
EN-GJS-500-7
HOLE SIZE: PILOT BORE  30MM
PITCH CIRCLE DIAMETER: 200 MM SPEED: 1520 RPM
</t>
  </si>
  <si>
    <t>MHW311630132349</t>
  </si>
  <si>
    <t>CPLG SHFT;M:GD 400.2;FLXBL,30MM,350MM</t>
  </si>
  <si>
    <t>COUPLING, SHAFT
TYPE: FLEXIBLE
BORE  DIAMETER: 30 MM
LENGTH: 350MM
MATERIAL: STEEL
MATERIAL GRADE: EN9
PITCH CIRCLE DIAMETER: 250MM TORQUE  RATING: ELASTIC 
TORQUE: 2800 NM
STIFF  TORQUE: 5320 NM
MODEL/MACHINE NO: GD  400.2 VENDOR:  GALVI
HALF</t>
  </si>
  <si>
    <t>GATE;WD840XLG1100MM,HYDR OPRTD</t>
  </si>
  <si>
    <t>MCV301720000013</t>
  </si>
  <si>
    <t>GATE; DIMENSIONS: WD 840 X LG 1100 MM,  TYPE: HYDRAULIC OPERATED</t>
  </si>
  <si>
    <t>35% Discount</t>
  </si>
  <si>
    <t>MHW311616200233</t>
  </si>
  <si>
    <t>BLT MACH;PN:D600B-265500A007;HT,HEX</t>
  </si>
  <si>
    <t>MACHINE BOLT
TYPE: HIGH TENSION
HEAD STYLE: HEXAGONAL
OEM PART NO : D600B-265500A007 VENDOR: DONGFENG ELECTRIC CO DRAWING: D600C-265000A
F/IP COMBINED VALVE (LEFT AND RIGHT)</t>
  </si>
  <si>
    <t>MHW311616200240</t>
  </si>
  <si>
    <t>BLT MACH;PN:D600B-265600A003;HIGH TNSL</t>
  </si>
  <si>
    <t>MACHINE BOLT
TYPE: HIGH TENSILE
HEAD STYLE: HEXAGONAL
OEM PART NO: D600B-265600A003 VENDOR : DONGFENG ELECTRIC CO DRAWING: D600C-265000A
POS: 21
F/LEFT RIGHT IP COMBINED VALVE</t>
  </si>
  <si>
    <t>MHW311616200238</t>
  </si>
  <si>
    <t>BLT MACH;PN:D600B-265000A011;HGH TNSL</t>
  </si>
  <si>
    <t>MACHINE BOLT
TYPE: HIGH TENSILE
HEAD  STYLE: HEXAGONAL MATERIAL:ALLOY  STEEL
MATERIAL GRADE: 20CR1MO1VNBTIB OEM PART NO: D600B-265000A011 VENDOR: DONGFENG ELECTRIC CO  DRAWING : D600C-265000A
POS: 21
F/IP  COMBINED VALVE, LEFT&amp;RIGHT</t>
  </si>
  <si>
    <t>MHW311628142205</t>
  </si>
  <si>
    <t>SCRW;PN:D600C-261200A005;D600C-261000A;F</t>
  </si>
  <si>
    <t>SCREW
OEM PART NO:  D600C-261200A005 VENDOR:  DONGFENG ELECTRIC CO DRAWING: D600C-261000A
F/HP MAIN STOP  VALVE</t>
  </si>
  <si>
    <t>Sill fab</t>
  </si>
  <si>
    <t>MAC401016050009</t>
  </si>
  <si>
    <t>KIT;PN:S13H113ZL37;GRID CPLNG,HUB (P/N</t>
  </si>
  <si>
    <t>KIT
TYPE: GRID COUPLING
COMPRISING: HUB(P/N:PHE1100TGRSB)
GRID (P/N: PHE1100TGGRID) HORIZONTAL SPLIT COVER(P/N:PHE1100TGH)
APPLICATION: NEW PA FAN MANUFACTURER PARTNO:S13H113ZL37 VENDOR:  SKF</t>
  </si>
  <si>
    <t>KIT 
TYPE: GRID COUPLING
COMPRISING: HUB (P/N: PHE1100TGRSB)
GRID (P/N: PHE1100TGGRID) HORIZONTAL SPLIT COVER (P/N: PHE1100TGH)
APPLICATION: NEW PA FAN MANUFACTURER PART NO: S13H113ZL37
VENDOR:  SKF</t>
  </si>
  <si>
    <t>KIT
TYPE: GRID COUPLING
COMPRISING: HUB (P/N: PHE1100TGRSB)
GRID (P/N: PHE1100TGGRID), HORIZONTAL SPLIT COVER (P/N: PHE1100TGH)
APPLICATION: NEW PA FAN MANUFACTURER PART NO: S13H113ZL37
VENDOR: SKF</t>
  </si>
  <si>
    <t>MAC401726070010</t>
  </si>
  <si>
    <t>CPLG;SS;EN8;BALCO/CPP-2/BOILER/001;W</t>
  </si>
  <si>
    <t>COUPLING
MATERIAL: STAINLESS STEEL
MATERIAL GRADE: EN8 
W/BOLT AND NUT
RUBBER BUSH</t>
  </si>
  <si>
    <t>MHW311630100250</t>
  </si>
  <si>
    <t>SPDR;M:R48/55;VTN RBR</t>
  </si>
  <si>
    <t>SPIDER
MATERIAL: VITON RUBBER MODEL/MACHINE NO:  R48/55
VENDOR: ROTEX</t>
  </si>
  <si>
    <t>MHW311630100279</t>
  </si>
  <si>
    <t>SPDR;VTN;BOILR; AC MTR TO G/BX;BAL/CPPII</t>
  </si>
  <si>
    <t>SPIDER
MATERIAL: VITON
APPLICATION: BOILER
AC MOTOR TO GEARBOX</t>
  </si>
  <si>
    <t>MHW311630100280</t>
  </si>
  <si>
    <t>SPDR;VTN;BOILR; DC MTR TO G/BX;BAL/CPPII</t>
  </si>
  <si>
    <t>SPIDER
MATERIAL: VITON
APPLICATION: BOILER
DC MOTOR TO GEARBOX</t>
  </si>
  <si>
    <t>MHW311630130327</t>
  </si>
  <si>
    <t>CPLG SHFT;PN:CL42155-281GR;M:FSO600;DRV</t>
  </si>
  <si>
    <t>COUPLING SHAFT
TYPE: DRIVE
BORE DIAMETER: 40 MM APPLICATION:GREASE LUBRICATION SYSTEM
MANUFACTURER PART NO: CL42155-281GR
VENDOR:  FORM SPRAG CLUTCH MODEL/MACHINE NO:  FSO600
CLUTCH</t>
  </si>
  <si>
    <t>usa</t>
  </si>
  <si>
    <t>MHW311630130619</t>
  </si>
  <si>
    <t>COUPLING
TYPE: DRIVE
METAL SHACKLE
APPLICATION: PA FAN
MANUFACTURER PART NO:  JM1J11 VENDOR:  RUSSELL</t>
  </si>
  <si>
    <t>COUPLING
TYPE: DRIVE
METAL SHACKLE
APPLICATION: PA FAN
MANUFACTURER PART NO: JM1J11 VENDOR:  RUSSELL</t>
  </si>
  <si>
    <t>Final Bid</t>
  </si>
  <si>
    <t>MAC401517281392</t>
  </si>
  <si>
    <t>LNR;PN:605.01;SS,ASTM A276 UNS S43101;1</t>
  </si>
  <si>
    <t>LINER
MATERIAL: STAINLESS STEEL
MATERIAL SPECIFICATION: ASTM A276 UNS S43101
VENDOR: SPEM, CHINA
OEM PART NO: 605.01
MAKE: SULZER PUMPS
EQUIP/TAG MODLE: HPT350-370-6S 
DRAWING: 1-204.235.054
DRAWING: 0-104.422.3707(1/3) BALANCE</t>
  </si>
  <si>
    <t>MAC401416051231</t>
  </si>
  <si>
    <t>VLV SLND;C:SCG551A001ms;2-10BAR;NPTM</t>
  </si>
  <si>
    <t>SOLENOID VALVE
PRESSURE RATING: 2-10 BAR
CONNECTION TYPE: NPTM
CATALOGUE:  SCG551A001ms
FITTING: 3/8 IN X 6 MM OD
ORIFICE/PIPE : 6MM</t>
  </si>
  <si>
    <t>MAC401416168223</t>
  </si>
  <si>
    <t>VLV ASSY;PN:A991A3001079701;MLL DP</t>
  </si>
  <si>
    <t>VALVE ASSEMBLY
APPLICATION: MILL DP
MANUFACTURER PART NO: A991A3001079701  MANUFACTURER:  ASCO NUMATICS, FOR  
TAG/EQUIP NO: 21200855 
COMPRISING:  SOL PILOT POPPET VALVE 3/2 NC (MODEL: 26190067)
CNOMO VALVE STYLE:3/2 WAY
VOLTAGE RATING: 230 VAC (MO</t>
  </si>
  <si>
    <t>Arush SwitchGears</t>
  </si>
  <si>
    <t>Self 15%</t>
  </si>
  <si>
    <t>MAC401515810003</t>
  </si>
  <si>
    <t>PMP CNTRFGL;VRTCL,MLTSTG,6IN,FLNG,6IN</t>
  </si>
  <si>
    <t>CENTRIFUGAL PUMP
TYPE: MULTISTAGE VERTICAL
INLET CONNECTION SIZE: 6  IN
INLET CONNECTION TYPE: FLANGE
OUTLET CONNECTION SIZE: 6 IN
OUTLET  CONNECTION TYPE: FLANGE
FLOW RATE:  200 M3/H
PRESSURE RATING: 16 KG
SPEED: 1490 RPM
TOTAL HEAD: 160 M
STAGE QUANTITY: 9
APPLICATION:  BOOSTER PUMP CHP
POWER RATING -110 KW</t>
  </si>
  <si>
    <t>Helen</t>
  </si>
  <si>
    <t xml:space="preserve">Doc5099031261 </t>
  </si>
  <si>
    <t>PUMP;VRTL,BRRL,13IN,FLNG,11IN,FLNG,485M3</t>
  </si>
  <si>
    <t>PUMP; TYPE: VERTICAL, BARREL, INLET  CONNECTION SIZE: 13 IN, INLET  CONNECTION TYPE: FLANGE, OUTLET  CONNECTION SIZE: 11 IN, OUTLET  CONNECTION TYPE: FLANGE, FLOW RATE:  485 M3/H, PRESSURE RATING: 160 PSIG,  SPEED: 1488 RPM, TOTAL HEAD: 220 M,  TEMPERATURE RATING: 45, APPLICATION:  TURBINE; MODEL/MACHINE NO:  ZD12NLT -220JA</t>
  </si>
  <si>
    <t>IMPLR;M:ZD12NLT-220JA;SCNDRY STG,SS,200</t>
  </si>
  <si>
    <t>IMPELLER; TYPE: SECONDARY STAGE,  MATERIAL: SS, DIMENSIONS: 200.30 MM,  APPLICATION: CEP; MODEL/MACHINE NO:  ZD12NLT-220JA; DRAWING NUMBER ZD12NLT -220. 1-03</t>
  </si>
  <si>
    <t>DRUM;PN:ZD12NLT-220.1-10D;BLNC</t>
  </si>
  <si>
    <t>DRUM; TYPE: BALANCE; MANUFACTURER PART  NO: ZD12NLT-220.1-10D</t>
  </si>
  <si>
    <t>BRNG;LWR,SS 316,16NO,199.95MM,300MM,50MM</t>
  </si>
  <si>
    <t>BEARING; TYPE: LOWER, CAGE MATERIAL:  STAINLESS STEEL 316, ROW QUANTITY: 16  NO, INSIDE DIAMETER: 199.95 MM,  OUTSIDE DIAMETER: 300 MM, WIDTH: 50 MM , APPLICATION: CEP PUMP; DRAWING NUMBER  ZD12NLT-220JA. 2-2</t>
  </si>
  <si>
    <t>RNG WEAR;PN:ZD12NLT-220 JA.2-3;FRST</t>
  </si>
  <si>
    <t>RING, WEAR; TYPE: FIRST; MANUFACTURER  PART NO: ZD12NLT-220 JA.2-3</t>
  </si>
  <si>
    <t>RNG WEAR;200MM,400MM,12MM,21KG,65DEG C</t>
  </si>
  <si>
    <t>RING, WEAR; INSIDE DIAMETER: 200 MM,  OUTSIDE DIAMETER: 400 MM, THICKNESS:  12 MM, PRESSURE RATING: 21 KG,  TEMPERATURE RATING: 65 DEG C,  MATERIAL: CAST STEEL, APPLICATION:  CONDENSATE EXTRACTION PUMP;  MODEL/MACHINE NO:  ZD12NLT; SECOND  STAGE STAIONARY RING WEAR DRAWING  NUMBER ZD12NLT-220.2-05</t>
  </si>
  <si>
    <t>BRNG SLV;INTERSTAGE BSH,CARBON</t>
  </si>
  <si>
    <t>BEARING, SLEEVE; TYPE: INTERSTAGE BUSH,  MATERIAL: CARBON</t>
  </si>
  <si>
    <t>SHOE;THRST,ID 200.30 X OD 300 X THK 50MM</t>
  </si>
  <si>
    <t>SHOE; TYPE: THRUST, DIMENSIONS: ID 200 .30 X OD 300 X THK 50 MM, MATERIAL:  CARBON STEEL, APPLICATION: CEP;  MODEL/MACHINE NO:  ZD12NLT-220JA;  DRAWING NUMBER ZD12NLT-280.1-04</t>
  </si>
  <si>
    <t>SHOE;M:ZD12NLT-220JA;JRNL,ID 199.95 X OD</t>
  </si>
  <si>
    <t>SHOE; TYPE: JOURNAL, DIMENSIONS: ID 199 .95 X OD 300 X THK 50 MM, MATERIAL:  ALLOY STEEL BABBITT METAL,  APPLICATION: CEP; MODEL/MACHINE NO:  ZD12NLT-220JA; DRAWING NUMBER ZD12NLT -280,1-05</t>
  </si>
  <si>
    <t>SHOE;UPPR THRST RNG,ID 200.30 X OD 300 X</t>
  </si>
  <si>
    <t>SHOE; TYPE: UPPER THRUST RING,  DIMENSIONS: ID 200.30 X OD 300 X THK  32 MM, MATERIAL: TIN BRONZE,  APPLICATION: CEP; MODEL/MACHINE NO:  ZD12NLT-220JA; DRAWING NUMBER ZD12NLT -280.1-16</t>
  </si>
  <si>
    <t>RNG;PN:ZD12NLT-280.1-12;THRUST,40CR</t>
  </si>
  <si>
    <t>RING; TYPE: THRUST, MATERIAL GRADE:  40CR; MANUFACTURER PART NO: ZD12NLT -280.1-12</t>
  </si>
  <si>
    <t>SEAL MECH;R:EBIPL/Q-28062024, C1;SP1</t>
  </si>
  <si>
    <t>SEAL, MECHANICAL; TYPE: SP1, BODY  MATERIAL: SS 316, SHAFT DIAMETER: 80  MM, MEDIA/RESISTANCE: FEED WATER, HEAD  TYPE: POSTIVE, HEAD DIAMETER: 353 MM,  HEAD HEIGHT: 7 M, HEAD MATERIAL: CAST  STELL, FACE TYPE: SLIT, FACE SIZE: 90  MM, FACE MATERIAL: CARBON/SILICON,  APPLICATION: CONDENSATE EXTRACTION  PUMP; REFERENCE NO:  EBIPL/Q-28062024,  C1, MANUFACTURER:  EAGLE BURGMANN  INDIA PVT. LTD</t>
  </si>
  <si>
    <t>SLV SHFT;PN:ZD12NLT-220.1-07</t>
  </si>
  <si>
    <t>SLEEVE, SHAFT; MANUFACTURER PART NO:  ZD12NLT-220.1-07</t>
  </si>
  <si>
    <t>BRNG THRST;THRST,WHT MTL,16NO,8NO,200</t>
  </si>
  <si>
    <t>BEARING, THRUST; TYPE: THRUST, CAGE  MATERIAL: WHITE METAL, PIECE QUANTITY:  16 NO, ROW QUANTITY: 8 NO, BORE  DIAMETER: 200.25 MM, OUTSIDE DIAMETER:  300 MM, WIDTH: 50 MM, ROLLING ELEMENT:  8 NO, APPLICATION: CONDENSATE  EXTRACTION PUMP; REFERENCE NO:  ZD12NLT-220JA</t>
  </si>
  <si>
    <t>SLV;THRTTL,199.95MM,216MM,300MM,SS 316</t>
  </si>
  <si>
    <t>SLEEVE; TYPE: THROTTLE, INSIDE  DIAMETER: 199.95 MM, OUTSIDE DIAMETER:  216 MM, LENGTH: 300 MM, MATERIAL:  STAINLESS STEEL 316, APPLICATION: PUMP</t>
  </si>
  <si>
    <t>MAC401018360029</t>
  </si>
  <si>
    <t>HEAT EXCHNGR;SHL&amp;TUBE,L 7360 X OD 1434MM</t>
  </si>
  <si>
    <t xml:space="preserve">HEAT EXCHANGER
TYPE: SHELL AND TUBE
DIMENSIONS: L 7360 X OD 1434MM
PRESSURE RATING: WORKING PRESSURE 
STEAM SIDE- 3 MPA MPA
TEMPERATURE  RATING: 380 DEG C
APPLICATION: HP  HEATER-2
NAME 2JG
MARK- JG-530-2
SHELL SIDE DESIGN PRESSURE: 3MPA,  SHELL </t>
  </si>
  <si>
    <t>Doc4790541698</t>
  </si>
  <si>
    <t>Reheater spray MOV</t>
  </si>
  <si>
    <t xml:space="preserve">Gate Valve for BFP to Reheater Spray Line MOV
Make: SEPCO 
</t>
  </si>
  <si>
    <t>Humraj Enterprie</t>
  </si>
  <si>
    <t>HPCV Cross head</t>
  </si>
  <si>
    <t>Cross head of High pressure control valve of Main turbine steam</t>
  </si>
  <si>
    <t>PC</t>
  </si>
  <si>
    <t>Main Turbine &amp; steam valves</t>
  </si>
  <si>
    <t>Description</t>
  </si>
  <si>
    <t>Application</t>
  </si>
  <si>
    <t>Drawing Number</t>
  </si>
  <si>
    <t>ASSEMBLY DRAWING OF MSV DISC</t>
  </si>
  <si>
    <t>COMBINED VALVE</t>
  </si>
  <si>
    <t>D600C-265500A</t>
  </si>
  <si>
    <t>ASSEMBLY DRAWING OF CV DISC</t>
  </si>
  <si>
    <t>D600C-265400A</t>
  </si>
  <si>
    <t>VALVE SEAT</t>
  </si>
  <si>
    <t>D600B-265300B</t>
  </si>
  <si>
    <t>MAIN STOP VALVE</t>
  </si>
  <si>
    <t>D600C-261500A</t>
  </si>
  <si>
    <t>ASSEMBLY DWG OF MSV DISC ROD AND EQUILIBRATED VALVE</t>
  </si>
  <si>
    <t>D600C-261200A</t>
  </si>
  <si>
    <t>ASSEMBLY DRAWING OF SLEEVE</t>
  </si>
  <si>
    <t>D600C-261300A</t>
  </si>
  <si>
    <t xml:space="preserve">	IP STEAM SEAL BODY</t>
  </si>
  <si>
    <t>D600H-160200A</t>
  </si>
  <si>
    <t>HIP CASING</t>
  </si>
  <si>
    <t>YV1 &amp; YV2</t>
  </si>
  <si>
    <t>Generator stator water manifold assembly</t>
  </si>
  <si>
    <t>MANIFOLD ASSEMBLY (T.E) 
Model : IQ7691-S 
Make : DONG FANG ELECTRIC MACHINERY  CO,LTD.</t>
  </si>
  <si>
    <t>Doc5125239338</t>
  </si>
  <si>
    <t>MGS314117000200</t>
  </si>
  <si>
    <t>SEAL MECH;DE,SS,95MM,316;SAFV4/158-ET2</t>
  </si>
  <si>
    <t>MECHANICAL SEAL
TYPE: DRIVE END
BODY MATERIAL: STAINLESS STEEL
SHAFT DIAMETER: 95 MM
MATERIAL GRADE: 316
DRAWING: SAFV4/158-ET2-A1
FACE TO FACE LENGTH: 189 MM</t>
  </si>
  <si>
    <t>MAC401515320312</t>
  </si>
  <si>
    <t>PUMP
TYPE: CIRCULATING OIL
INLET CONNECTION SIZE: 8 IN
INLET CONNECTION TYPE: FLANGED
OUTLET CONNECTION SIZE: 8 IN
OUTLET CONNECTION TYPE: FLANGED
FLOW RATE: 40 M3/H
PRESSURE RATING: 20 KG
SPEED: 900 RPM
MOUNTING METHOD: FLANGED, MEDIA/RESISTANCE</t>
  </si>
  <si>
    <t>MAC401517130050</t>
  </si>
  <si>
    <t>ELECTRICAL METER
TYPE: MULTIFUNCTION
MEASUREMENT RANGE: 0-500 KW
FACE  SIZE: 48 MM2
OEM PART NO:  PD977E
VENDOR:  TIANSHUICHANGCHENG  SWITCHGEAR FACTORY, CHINA</t>
  </si>
  <si>
    <t>MEL391210321546</t>
  </si>
  <si>
    <t>CURRENT TRANSFORMER
CURRENT RATIO:  100MTA
APPARENT POWER: 50 KW
ACCURACY: CLASS 0.5
THREE PHASE  CURRENT SENSOR
MODEL - PMC-MTA-100A
SPECIFICATION - 100A/1.25V
ACCURACY -  CLASS 0.5
LINE CURRENT -25A-100A
ELECTRIC MOTOR POWER - 12.5KW - 50KW ,VO</t>
  </si>
  <si>
    <t>MEL391210321553</t>
  </si>
  <si>
    <t>CURRENT TRANSFORMER
CURRENT RATIO: 25  MTA A
APPARENT POWER: 12.5KW
ACCURACY: CLASS 0.5
THREE PHASE  CURRENT SENSOR
MODEL -PMC-MTA-25A 
SPECIFICATION - 25A/1.25V
ACCURACY -  CLASS 0.5
LINECURRENT - 5A-25A
ELECTRIC MOTOR POWER - 2.2 KW -12.5KW ,V</t>
  </si>
  <si>
    <t>MEL391215292835</t>
  </si>
  <si>
    <t>CONTACTOR
TYPE: DC
COIL VOLTAGE: 220  V DC
VOLTAGE RATING: 750 V
CURRENT  RATING: 100 A
ELECTRICAL POLE  QUANTITY: 2P
CONTACTARRANGEMENT: 2  NO
MANUFACTURER PART NO:  CZ0-100/20
MANUFACTURER: CHINT
EQUIP/TAG MODEL: EQBFCPCM000198
FOR MAGNET CR</t>
  </si>
  <si>
    <t>MEL391215293618</t>
  </si>
  <si>
    <t>CONTACTOR
TYPE: DC POWER
COIL  VOLTAGE: 220 V DC
VOLTAGE RATING:220  V DC
CURRENT RATING: 50 A
POWER  RATING: 7 KW
ELECTRICAL POLE QUANTITY: 2 POLE
CONTACT ARRANGEMENT:  3NO-3NC
MANUFACTURER PARTNO:  BC98 -Z38
MANUFACTURER:  SHENYANG</t>
  </si>
  <si>
    <t>MEL391216013663</t>
  </si>
  <si>
    <t>CIRCUIT BREAKER
TYPE: AIR
CURRENT  RATING: 5000 A
VOLTAGE RATING: 240/440 V AC
ELECTRICAL POLE  QUANTITY: 7P
INTERRUPT CAPACITY: 120 KA
MOUNTING METHOD: DIN RAIL
MANUFACTURER PART NO:  DW45
MANUFACTURER:  SUZHOU WANLONG GROUP CO  LTD</t>
  </si>
  <si>
    <t>MEL391216110050</t>
  </si>
  <si>
    <t>MEL391216340285</t>
  </si>
  <si>
    <t>ELECTRICAL ARRESTER 
TYPE: LIGHTNING
VOLTAGE PROTECTION LEVEL: 400KV
CURRENT: 0-5 MA
MANUFACTURER PART NO:   JCQ3A
MANUFACTURER: XIAN XD  ARRESTER CO LTD</t>
  </si>
  <si>
    <t>MEL391222001789</t>
  </si>
  <si>
    <t xml:space="preserve">SELECTOR SWITCH
TYPE: 2-WAY
VOLTAGE  RATING: 24 V DC
CURRENT RATING: 1 A
POWER RATING: 24 W
ELECTRICAL POLE  QUANTITY: 8 P
CONTACT ARRANGE MENT:  2NO-2NC
POSITION QUANTITY: 2
OPERATED:MANUAL 
APPLICATION: LOCAL  REMOTE SELECTION  FOR MCC FEEDER </t>
  </si>
  <si>
    <t>50</t>
  </si>
  <si>
    <t>MEL391222130174</t>
  </si>
  <si>
    <t>LIMIT SWITCH
MANUFACTURER PART NO: XCCGQ-Z16-ZD1
VENDOR:  SCHNEIDER ELECTRIC</t>
  </si>
  <si>
    <t>FLOW SWITCH
FLOW RATE: 2.5 gal/mi
PRESSURE RANGE: 150 PSIG
TEMPERATURE RATING: 32-250 DEGF
VOLTAGE RATING: 230 V AC
CURRENT RATING: 16 A
CONNECTION SIZE: 1 ""
CONNECTION TYPE: MNPT 
MATERIAL:BRONZE
ENCLOSURE RATING: NEMA 1
ACTION: SPDT; STANDARD</t>
  </si>
  <si>
    <t>MEL391222400042</t>
  </si>
  <si>
    <t>SPEED SWITCH
APPLICATION: TRANSFER  DEVICE
MANUFACTURER PART NO: SID-8BT -A</t>
  </si>
  <si>
    <t>MEL391223050001</t>
  </si>
  <si>
    <t>ELECTRICAL METER
TYPE: MULTIFUNCTION
MEASUREMENT RANGE: 0-690 VAC
DISPLAY  TYPE: DIGITAL
MANUFACTURER PART NO:  ST523
MANUFACTURER:  SUZHOU WANLONG  GROUP CO LTD EQUIP/TAG SERIAL: 11405864; FOR EMCC</t>
  </si>
  <si>
    <t>MEL391223150242</t>
  </si>
  <si>
    <t>RELAY
TYPE: PROTECTION
COIL VOLTAGE:  220 V DC
CURRENT RATING: 5 A
APPLICATION: MOTOR
OEM PART NO:  PMC550J</t>
  </si>
  <si>
    <t>MEL391223290234</t>
  </si>
  <si>
    <t>RELAY  TIME DELAY
TIME DELAY: 0 .5S/5S/30S/3MIN
COIL VOLTAGE: 220 VDC 
CURRENT RATING: 3 A
CONTACT  ARRANGEMENT: 2NO-2NC
CONTACTRATING:  220 V AC
ELECTRICAL POLE QUANTITY: 8  PIN
LINE VOLTAGE: 220V DC
ACTION:  DPDT
OPERATION: ON DELAY,  APPLICATI</t>
  </si>
  <si>
    <t>MEL391223300182</t>
  </si>
  <si>
    <t>RELAY 
OVERLOAD 
TYPE: CARRIER ERMINAL
MODEL/MACHINE NO:  3UX-1425
VENDOR:  SIEMENS LTD
MOUNTING R ELAY</t>
  </si>
  <si>
    <t>MEL391223312534</t>
  </si>
  <si>
    <t>MGE261011140836</t>
  </si>
  <si>
    <t>ELECTRIC MOTOR
TYPE: SQUIRREL CAGE  INDUCTION
VOLTAGE RATING: 415 VAC
CURRENT RATING: 53 A
POWER RATING: 30  KW
SPEED: 2950 RPM
FRAME: YB2-200L-2 
ELECTRICAL POLE QUANTITY: 2
INSULATION CLASS: F
DUTY RATING: S1  CONTINUOUS
MOUNTING METHOD: B3</t>
  </si>
  <si>
    <t>MGE261011141245</t>
  </si>
  <si>
    <t>ELECTRIC MOTOR
TYPE: INDUCTION
VOLTAGE RATING: 415 V AC
CURRENT RATING: 0.88 A
POWER RATING: 370 W
POWER SUPPLY: 415 V AC
SPEED:2800  RPM
SHAFT DIAMETER: 14 MM
FRAME: 71
ELECTRICAL POLEQUANTITY: 2
INSULATION CLASS: E
DUTY RATING: S1,  MOUN</t>
  </si>
  <si>
    <t>MGE261014120099</t>
  </si>
  <si>
    <t>MHW311628010085</t>
  </si>
  <si>
    <t>HANDLE
TYPE: ROTARY
DIMENSIONS: SQ 39  X LG 55 MM
MATERIAL:PLASTIC
COLOR:  BLACK
APPLICATION: 8E/2 FEEDER MECH  INTERLOCK
EQUIP/TAG MODE: MNS-8E/2 -10BJA02/A2
MNFR: SEPCO ELECTRIC POWER</t>
  </si>
  <si>
    <t>MIA321015020090</t>
  </si>
  <si>
    <t>ELECTRONIC CARD
TYPE: CONTROL
VOLTAGE RATING: 24 V DC
APPLICATION:  RECTIFORMER TRANSFORMER
OEM PART NO:  RH2018P3C
OEM: ZHEJIANG
EQUIP/TAG  MODEL:  GGAJ06</t>
  </si>
  <si>
    <t>MIA321016280123</t>
  </si>
  <si>
    <t xml:space="preserve">ELECTRONIC CONTROLLER
TYPE: MULTI  FUNTION
VOLTAGE RATING: 415 V
CURRENT RATING: 5 A 
POWER RATING: 40  KW
MEASUREMENT RANGE: 4-20MA
INPUT:  415 V 
OUTPUT: 4-20 MA
APPLICATION:  ESACADA
MODEL/MACHINE NO:  ST400III3N -5-415
VENDOR:  SUZHOU WANLONG </t>
  </si>
  <si>
    <t>MIA321217010091</t>
  </si>
  <si>
    <t>RECTIFIER
VOLTAGE: 415/220 VAC/DC
CURRENT: 10 A
OEM PART NO: LNDY240ZF10
VENDOR:  ABB</t>
  </si>
  <si>
    <t>MIT432015420200</t>
  </si>
  <si>
    <t>CONTROL-MONITOR
APPLICATION: BATTERY  (VOLTAGE: 48 VDC)
OEM PART NO: BMM -B2022
VENDOR:  SHANDONG LUNENG  ENGINEERING CO LTD</t>
  </si>
  <si>
    <t>MLB411121000435</t>
  </si>
  <si>
    <t>TRANSDUCER
TYPE: DC CURRENT
INPUT: 0 -75 MV
OUTPUT: 4-20 MA
POWERSUPPLY:  200-220 V DC
CURRENT RATING: 4-20 MA  
APPLICATION: JOP PANEL TRANSMITTER
MODEL/MACHINE NO:  JD194-BS5I</t>
  </si>
  <si>
    <t>MLB411122000026</t>
  </si>
  <si>
    <t>THERMOMETER
TYPE: SIGNAL
OEM PART NO:  MT-ST160F
VENDOR:  SEPCOELECTRIC POWER; GT</t>
  </si>
  <si>
    <t>ELECTRONIC CONTROLLER
TYPE:  TEMPERATURE
VOLTAGE RATING: 230 V AC
CURRENT RATING: 5 A
POWER RATING: 1  KW
MEASUREMENT RANGE: 0-200DEG C
INPUT: PT100
OUTPUT: 5 A
(5) I/P  CHANNEL FROM PT100,F/COOLING FAN</t>
  </si>
  <si>
    <t>MLB411122050201</t>
  </si>
  <si>
    <t>TEMPERATURE SENSOR
TYPE: CHANNEL  SCANNER
STYLE: DIGITAL
TEMPERATURE  RANGE: -30 TO 240 DEG C
OUTPUT  SIGNAL: 4-20 MA
MEDIA/RESISTANCE:  PT100
MODEL/MACHINE NO:  LD-B10-10EFI 
VENDOR: FUJIAN LEAD AUTOMATIC EQUIP  CO LTD</t>
  </si>
  <si>
    <t>MLB411122250247</t>
  </si>
  <si>
    <t>RESISTANCE TEMPERATURE DETECTOR
TYPE:  DUPLEX
TEMPERATURE RANGE:250 DEG C
SHEATH LENGTH: 5 M
RESISTANCE RATING:  194 OHM
IMMERSIONLENGTH: 19 MM
THICKNESS: 2 MM
APPLICATION: TDBFP  THRUST BEARING
WIDTH: 4 MM</t>
  </si>
  <si>
    <t>MLB411124100135</t>
  </si>
  <si>
    <t>MMM201016170162</t>
  </si>
  <si>
    <t>GEARED MOTOR
TYPE: SQUIRREL CAGE  INDUCTION
VOLTAGE RATING: 415 VAC
CURRENT RATING: 11.6 A
POWER RATING:  5.5 KW
PHASE QUANTITY:3PH
RATIO: 96 .8, 
OUTPUT SPEED: 1500 RPM
MOUNTING  METHOD: FLANGE
INSULATION CLASS: F
ENCLOSURE RATING: IP55, GEARBO</t>
  </si>
  <si>
    <t>MTP251717070002</t>
  </si>
  <si>
    <t>BRAKE
TYPE: MAGNETIC DRUM
DRAWING:  STEAG-TSPL-O&amp;M-M-04
BRAKE SHOE MATERIAL: RUBBER
EXCITER VOLTAGE: 110  V
EXCITER CURRENT: 2 A</t>
  </si>
  <si>
    <t>Vashi Integrated Solutions</t>
  </si>
  <si>
    <t>Block valve YV1
Left Side</t>
  </si>
  <si>
    <t>Block valve YV2
Right Side</t>
  </si>
  <si>
    <t>Anne Comments</t>
  </si>
  <si>
    <t>Material Code Rafer to attached for find pic</t>
  </si>
  <si>
    <t>Item Required</t>
  </si>
  <si>
    <t xml:space="preserve">Make </t>
  </si>
  <si>
    <t>Model / Part No</t>
  </si>
  <si>
    <t>beijing fute disc motor co.ltd.</t>
  </si>
  <si>
    <t>ELECTRICAL METER</t>
  </si>
  <si>
    <t xml:space="preserve"> TIANSHUICHANGCHENG  SWITCHGEAR FACTORY, CHINA</t>
  </si>
  <si>
    <t>PD977E-9G/B-C-N-N-N</t>
  </si>
  <si>
    <t>CURRENT TRANSFORMER</t>
  </si>
  <si>
    <t>CET Electric Technology Inc.</t>
  </si>
  <si>
    <t xml:space="preserve"> PMC-MTA-100A</t>
  </si>
  <si>
    <t>PMC-MTA-1A</t>
  </si>
  <si>
    <t>CONTACTOR</t>
  </si>
  <si>
    <t>EQBFCPCM000198</t>
  </si>
  <si>
    <t>CHINT</t>
  </si>
  <si>
    <t>BC98 -Z38</t>
  </si>
  <si>
    <t>SHENYANG</t>
  </si>
  <si>
    <t>CIRCUIT BREAKER</t>
  </si>
  <si>
    <t>SUZHOU WANLONG GROUP CO  LTD</t>
  </si>
  <si>
    <t>DW45</t>
  </si>
  <si>
    <t>FUSE</t>
  </si>
  <si>
    <t xml:space="preserve"> SHAANXI LONGSHEN ELECTRIC CO. , LTD.</t>
  </si>
  <si>
    <t>029-85692100</t>
  </si>
  <si>
    <t>FUSE
TYPE: SEMI CONDUCTOR
VOLTAGE  RATING: 380 V
CURRENT RATING:750 A
INTERRUPT CAPACITY: 100 KA
MATERIAL:  COPPER
APPLICATION: H2PLANT SKID
MODEL/MACHINE NO:  029-85692100
VENDOR:  SHAANXI LONGSHEN ELECTRIC CO. , LTD.
106 RSM, IEC60269-4</t>
  </si>
  <si>
    <t xml:space="preserve">ELECTRICAL ARRESTER </t>
  </si>
  <si>
    <t>XIAN XD  ARRESTER CO LTD</t>
  </si>
  <si>
    <t xml:space="preserve"> JCQ3A</t>
  </si>
  <si>
    <t>SELECTOR SWITCH</t>
  </si>
  <si>
    <t>LOCAL</t>
  </si>
  <si>
    <t>ADA-6A697- 2L/F029</t>
  </si>
  <si>
    <t>LIMIT SWITCH</t>
  </si>
  <si>
    <t xml:space="preserve"> SCHNEIDER ELECTRIC</t>
  </si>
  <si>
    <t>XCCGQ-Z16-ZD1</t>
  </si>
  <si>
    <t>FLOW SWITCH</t>
  </si>
  <si>
    <t>shenyang city Special Electric Appliance Plant P.R. china</t>
  </si>
  <si>
    <t>YJ-150/80</t>
  </si>
  <si>
    <t>SPEED SWITCH</t>
  </si>
  <si>
    <t>SHENZHEN GUOLI ZHINENG ELECTRIC POWER TECHNOLOGY CO.,LTD</t>
  </si>
  <si>
    <t>SID-8BT -A</t>
  </si>
  <si>
    <t>SUZHOU WANLONG  GROUP CO LTD</t>
  </si>
  <si>
    <t xml:space="preserve"> ST523</t>
  </si>
  <si>
    <t>RELAY</t>
  </si>
  <si>
    <t>Pic attached</t>
  </si>
  <si>
    <t>PMC550J</t>
  </si>
  <si>
    <t>RELAY  TIME DELAY</t>
  </si>
  <si>
    <t>CNHL</t>
  </si>
  <si>
    <t>S3PA-A9(JSZ3)</t>
  </si>
  <si>
    <t xml:space="preserve">RELAY </t>
  </si>
  <si>
    <t xml:space="preserve">  SIEMENS LTD</t>
  </si>
  <si>
    <t xml:space="preserve"> 3UX-1425</t>
  </si>
  <si>
    <t>CONTROL RELAY</t>
  </si>
  <si>
    <t>Shanghai Xinji Electric Co.Ltd.</t>
  </si>
  <si>
    <t>LB</t>
  </si>
  <si>
    <t xml:space="preserve">CONTROL RELAY
TYPE: LATCHING
COIL  VOLTAGE: 110 V AC
CURRENT RATING: 10  A
CONTACT ARRANGEMENT: 2NO-2NC
CONTACT RATING: 6 A
ELECTRICAL POLE  QUANTITY: 3 POLE
TERMINAL QUANTITY:  16 PIN
APPLICATION: CAPACITIVE  VOLTAGE TRANSFORMER </t>
  </si>
  <si>
    <t>ELECTRIC MOTOR</t>
  </si>
  <si>
    <t>DEZHOU HENGLI ELECTRICAL MECHINARY CO,LTD</t>
  </si>
  <si>
    <t>SHENZGZHOU HUAXIN MOTOR FACTORY</t>
  </si>
  <si>
    <t>YS7112</t>
  </si>
  <si>
    <t>BRAKE SHOE</t>
  </si>
  <si>
    <t>STEAG</t>
  </si>
  <si>
    <t>K-155</t>
  </si>
  <si>
    <t>BRAKE SHOE
EQUIP/TAG MODEL:  YPEJ-50-5
MAKE: STEAG
O&amp;M-K-155
DIMENSIONS: ID 66 X OD 149 MM
WITH GEAR; FOR STACKER MOTOR</t>
  </si>
  <si>
    <t>HANDLE</t>
  </si>
  <si>
    <t>SEPCO ELECTRIC POWER</t>
  </si>
  <si>
    <t>MNS-8E/2 -10BJA02/A2</t>
  </si>
  <si>
    <t>ELECTRONIC CARD</t>
  </si>
  <si>
    <t xml:space="preserve"> ZHEJIANG</t>
  </si>
  <si>
    <t>GGAJ06</t>
  </si>
  <si>
    <t>ELECTRONIC CONTROLLER</t>
  </si>
  <si>
    <t xml:space="preserve">SUZHOU WANLONG </t>
  </si>
  <si>
    <t>ST400III3N -5-415</t>
  </si>
  <si>
    <t>RECTIFIER</t>
  </si>
  <si>
    <t>ABB</t>
  </si>
  <si>
    <t>LNDY240ZF10</t>
  </si>
  <si>
    <t>CONTROL-MONITOR</t>
  </si>
  <si>
    <t xml:space="preserve"> SHANDONG LUNENG  ENGINEERING CO LTD</t>
  </si>
  <si>
    <t>BMM -B2022</t>
  </si>
  <si>
    <t>TRANSDUCER</t>
  </si>
  <si>
    <t xml:space="preserve"> JD194-BS5I</t>
  </si>
  <si>
    <t>THERMO METER</t>
  </si>
  <si>
    <t>SEPCOELECTRIC POWER; GT</t>
  </si>
  <si>
    <t>MT-ST160F</t>
  </si>
  <si>
    <t>TEMPERATURE SENSOR</t>
  </si>
  <si>
    <t xml:space="preserve"> FUJIAN LEAD AUTOMATIC EQUIP  CO LTD</t>
  </si>
  <si>
    <t xml:space="preserve">LD-B10-10EFI </t>
  </si>
  <si>
    <t>RESISTANCE TEMPERATURE DETECTOR</t>
  </si>
  <si>
    <t>WZPM2-014</t>
  </si>
  <si>
    <t>PRESSURE TRANSMITTER</t>
  </si>
  <si>
    <t>GP  50</t>
  </si>
  <si>
    <t xml:space="preserve"> 311CRV7COHLLD</t>
  </si>
  <si>
    <t>PRESSURE TRANSMITTER
MANUFACTURER  PART NO:  311CRV7COHLLD
VENDOR: GP  50
SERIAL: 109330</t>
  </si>
  <si>
    <t>GEARED MOTOR</t>
  </si>
  <si>
    <t>SNMA</t>
  </si>
  <si>
    <t>YPEJ-50-575-4</t>
  </si>
  <si>
    <t>BRAKE</t>
  </si>
  <si>
    <t xml:space="preserve">other brand </t>
  </si>
  <si>
    <t>Nameplate</t>
  </si>
  <si>
    <t>ST523+ST400III
Hello, this model has been discontinued and we can only purchase one set now. Buying one set separately is not usable.
My quote is for a set of prices.10days.</t>
  </si>
  <si>
    <t>The manufacturer requires a photo of the back label.</t>
  </si>
  <si>
    <t>The manufacturer said they need a complete picture of the motor.</t>
  </si>
  <si>
    <t>Do ypu have a main euipement name plate</t>
  </si>
  <si>
    <t xml:space="preserve">ST523+ST400III
Hello, this model has been discontinued and we can only purchase one set now. Buying one set separately is not usable.
My quote is for a set of prices.10days.
</t>
  </si>
  <si>
    <t>model?</t>
  </si>
  <si>
    <t>nameplate?</t>
  </si>
  <si>
    <t>Complete part number</t>
  </si>
  <si>
    <t>Emma and Helen</t>
  </si>
  <si>
    <t>Main equipment tag picture and complete pictures,
Emma</t>
  </si>
  <si>
    <t>India and China both, Research and then send</t>
  </si>
  <si>
    <t>https://gp50.com/sales/find-local-sales-rep/#worldwide</t>
  </si>
  <si>
    <t>Nameplate picture required</t>
  </si>
  <si>
    <t>Debak Enterprises</t>
  </si>
  <si>
    <t>Comments</t>
  </si>
  <si>
    <t>Require name plate photographs</t>
  </si>
  <si>
    <t>Required photographs of the black color label on the relay</t>
  </si>
  <si>
    <t>Require complete part number</t>
  </si>
  <si>
    <t>Require complete picture of the motor</t>
  </si>
  <si>
    <t>Main equipment name tag picture and complete item picture required</t>
  </si>
  <si>
    <t>Require correct model number, please re check and confirm</t>
  </si>
  <si>
    <t>ITEM Required</t>
  </si>
  <si>
    <t>MAKE</t>
  </si>
  <si>
    <t>MODEL/PART NO</t>
  </si>
  <si>
    <t>AMMETER</t>
  </si>
  <si>
    <t>HBL POWER SYSTEMS LTD</t>
  </si>
  <si>
    <t>A3-4</t>
  </si>
  <si>
    <t>AMMETER
TYPE: DC LOAD
MEASUREMENT  RANGE: 0-150ADC
FACE SIZE: SQ 96MM
ACCURACY: 1.5PCT
POWER SUPPLY: 75MV
MANUFACTURER: HBL POWER SYSTEMS LTD
EQUIP/TAG MODEL: A3-4
EQUIP/TAG  SERIAL: HPE/0066/1011090003
ADD INFO:  F/DUALFLOAT CUM BOOST BATTERY CHARGER  VOLTAGE: 24 V
CURRENT:90 A</t>
  </si>
  <si>
    <t>RISHABH</t>
  </si>
  <si>
    <t xml:space="preserve">3AYN569751-461R </t>
  </si>
  <si>
    <t>TRANSDUCER
SPECIFICATION: TRANSDUCER 
INPUT:0-75MVDC
OUTPUT:4-20MADC DUAL  OUTPUT,AUX. SUPPLY:85-230VAC/DC 
ARTICLE NO.:3AYN569751-461R 
MAKE: RISHABH
ORDER NO.:4202284801; 9 .4TG AVR</t>
  </si>
  <si>
    <t>SHUNT</t>
  </si>
  <si>
    <t>SHUNT
TYPE: RESISTANCE
F/AMMETER  (RATING: 150 A, 75 MA)</t>
  </si>
  <si>
    <t>PERFECT CONTROLS</t>
  </si>
  <si>
    <t>PC 171</t>
  </si>
  <si>
    <t>TRANSDUCER
TYPE: CURRENT
INPUT: 4-20  MA
OUTPUT: 0-25 MA
POWER SUPPLY: 90 -260 VAC/DC 
CURRENT RATING: 5 A
APPLICATION: TRANSFORMER
OEM PART NO: CCXT-A-2
VENDOR:  PERFECT CONTROLS
EQUIP/TAG MODEL: PC 171
DRAWING: 7211 -05</t>
  </si>
  <si>
    <t xml:space="preserve">PERFECT CONTROLS </t>
  </si>
  <si>
    <t>TRANSDUCER
TYPE: RESISTANCE TO CURRENT 
INPUT: PT100
OUTPUT: 4-20 MA
POWER  SUPPLY: 90-260 V
CURRENT RATING: 5 A
APPLICATION: TRANSFORMER
OEM PART NO: RCXT-3-WTI
VENDOR:  PERFECT CONTROLS 
EQUIP/TAG MODE: PC 171
TEMPERATURE  RANGE: 0-150 DEG C</t>
  </si>
  <si>
    <t>ELECTRONIC TIMER</t>
  </si>
  <si>
    <t>GIC</t>
  </si>
  <si>
    <t>2A5DTS</t>
  </si>
  <si>
    <t>ELECTRONIC TIMER
SERIES MICON-225  
MULTIFUNCTION
MAKE:GIC
CAT NO-2A5DTS
SUPPLY:- 24-240VAC/DC 50/60HZ
TOLERANCE:- -20% TO +10%
CONTACT:-  5A(RES) @ 240 V AC/28VDC
TIME (TS):-0 .1 SEC - 10HRS
MODE:- A,B,C,D,E</t>
  </si>
  <si>
    <t>15</t>
  </si>
  <si>
    <t>SIEMENS</t>
  </si>
  <si>
    <t>3TF51</t>
  </si>
  <si>
    <t>CONTACTOR
TYPE: POWER
VOLTAGE RATING: 240 V
CURRENT RATING: 140 A
CONTACT ARRANGEMENT: 3NO-3NC
MANUFACTURER PART NO:  3TF51
VENDOR:  SIEMENS
FREQUENCY: 50 HZ</t>
  </si>
  <si>
    <t>POWER SUPPLY</t>
  </si>
  <si>
    <t>POWER SUPPLY
TYPE: SWITCHED MODE
OUTPUT VOLTAGE: 24VDC
OUTPUT CURRENT:  5A</t>
  </si>
  <si>
    <t>SCANNER</t>
  </si>
  <si>
    <t xml:space="preserve"> 85XX+  </t>
  </si>
  <si>
    <t>SCANNER
TYPE:DIGITAL TEMPERATURE
NUMBER OF CHANNELS: 24
VOLTAGE  RATING:85 TO 265 VAC/100 TO 300 VDC OR  18 TO 36 VDC
SIZE:WD: 72 X HT: 144 X  DIA: 165 MM
MANUFACTURER MODEL: 85XX+  
SCANNER/DAQ
PROGRAMMABLE 24 CHANNEL
UNIVERSAL INPUT (THERMOCOUPLE TYPE E,J ,K,T,B,R,S, (ANSI STANDARD)
RTD PT100,  3 WIRE, 4 TO 20 MA/1 TO 5 VDC/0 TO 20  MA/0 TO 5 VDC
ACCURACY 0.1% (+/-) OF  SPAN + 1 COUNT
SAMPLING SPEED 250  MSEC PER CHANNEL FOR RTD INPUT,  DISPLAY SCAN RATE SETTABLE 1 TO 99  SECOND, NETWORK CONNECTIVITY TCP/IP  (RJ-45), MODNET, 
PANEL CUT OUT WD: 68 .5 X HT: 137 MM</t>
  </si>
  <si>
    <t xml:space="preserve">SCANNER </t>
  </si>
  <si>
    <t>MASIBUS</t>
  </si>
  <si>
    <t>85XX</t>
  </si>
  <si>
    <t>SCANNER 
TYPE: DIGITAL TEMPERATURE
CHANNEL QUANTITY: 8
MANUFACTURER:  MASIBUS
MODEL/MACHINE NO: 85XX</t>
  </si>
  <si>
    <t>Kalpana</t>
  </si>
  <si>
    <t>Model No. TV808
INR 2890</t>
  </si>
  <si>
    <t>INR 1440
EDR 120-24</t>
  </si>
  <si>
    <t>VLV CHK;LFT,DN80,PN250,DN80,BUTT WLD</t>
  </si>
  <si>
    <t>VALVE, CHECK; TYPE: LIFT, SIZE: DN 80, PRESSURE RATING: PN 250,CONNECTION SIZE: DN 80, CONNECTION TYPE: BUTT WELD, OPERATED:PISTON, BODY MATERIAL: ALLOY STEEL, MATERIAL GRADE: WC9, MATERIALSPECIFICATION: ASTM A217, TRIM: SEAT: SATELLITE, APPLICATION</t>
  </si>
  <si>
    <t>MAC401416340630</t>
  </si>
  <si>
    <t>VLV GTE;ON/OFF,NB65,CL2500,OD 60 X THK</t>
  </si>
  <si>
    <t>VALVE, GATE; TYPE: ON/OFF, SIZE: NB 65, PRESSURE RATING: CL 2500,CONNECTION SIZE: OD 60 X THK 5 MM, CONNECTION TYPE: BUTT WELD, PORTTYPE: STANDARD PORT, OPERATED: MOTORIZED, BODY MATERIAL: FORGEDSTEEL, MATERIAL GRADE: ASTM A105, MATERIAL SPECIFICAT</t>
  </si>
  <si>
    <t>MAC401416131828</t>
  </si>
  <si>
    <t>CSNG PMP;CS,ZG25,BOOSTR PMP;D:TAL-HZB253</t>
  </si>
  <si>
    <t>MAC401517011572</t>
  </si>
  <si>
    <t>CASING, PUMP; MATERIAL: CARBON STEEL, MATERIAL GRADE: ZG25,APPLICATION: BOOSTER PUMP; DRAWING: TAL-HZB253-640 -00(1/3), POS: 24;SUB DRAWING: HZB253 -640-03-03, SPEM CHINA</t>
  </si>
  <si>
    <t>MANIFOLD ASSEMBLY (E.E) 
Model : IQ7692-S 
Make : DONG FANG ELECTRIC MACHINERY  CO,LTD.</t>
  </si>
  <si>
    <t>EMCON (Kalpana)</t>
  </si>
  <si>
    <t>Helen Comments</t>
  </si>
  <si>
    <r>
      <t>Delivery Time</t>
    </r>
    <r>
      <rPr>
        <sz val="10.5"/>
        <rFont val="宋体"/>
        <family val="3"/>
        <charset val="134"/>
      </rPr>
      <t>：</t>
    </r>
    <r>
      <rPr>
        <sz val="10.5"/>
        <rFont val="Arial"/>
        <family val="2"/>
      </rPr>
      <t>40 days</t>
    </r>
  </si>
  <si>
    <t>The parameters in the quotation and the photo conflict with the supplier. The quotation is based on the supplier and parameters in the photo.</t>
  </si>
  <si>
    <t>In Stock</t>
  </si>
  <si>
    <t>In Stock
The original brand is Chint. However, Chint doesn't produce it any more. I am quoting from other brand with same spec</t>
  </si>
  <si>
    <t>Can you please send name plate of the equipment?Thanks</t>
  </si>
  <si>
    <r>
      <t>Delivery Time</t>
    </r>
    <r>
      <rPr>
        <sz val="10.5"/>
        <rFont val="宋体"/>
        <family val="3"/>
        <charset val="134"/>
      </rPr>
      <t>：</t>
    </r>
    <r>
      <rPr>
        <sz val="10.5"/>
        <rFont val="Arial"/>
        <family val="2"/>
      </rPr>
      <t>7-10 days</t>
    </r>
  </si>
  <si>
    <t>Can you please send detailed model No?Factory needs the two numbers in below photo in red square</t>
  </si>
  <si>
    <t>We are quoting per the description, better to send name plate to double check, thanks</t>
  </si>
  <si>
    <t>Can you please send end user name and name plate?</t>
  </si>
  <si>
    <r>
      <rPr>
        <sz val="11"/>
        <rFont val="宋体"/>
        <family val="3"/>
        <charset val="134"/>
      </rPr>
      <t>已经停产了，销售的是库存货</t>
    </r>
  </si>
  <si>
    <t>Can you please send detailed model No and name plate photo? Thanks</t>
  </si>
  <si>
    <t>Can you please send cabinet name plate and OEM info? Thanks</t>
  </si>
  <si>
    <t>Needs the specific end user name. Also, if the product is discontinued and no longer in production, if you want to find a replacement product, you need to know the data information on the back of the original product. There is a gray label on the back.</t>
  </si>
  <si>
    <r>
      <t>Make</t>
    </r>
    <r>
      <rPr>
        <sz val="11"/>
        <rFont val="宋体"/>
        <family val="3"/>
        <charset val="134"/>
      </rPr>
      <t>：</t>
    </r>
    <r>
      <rPr>
        <sz val="11"/>
        <rFont val="Arial"/>
        <family val="2"/>
      </rPr>
      <t>shandong lu neng
Delivery Time</t>
    </r>
    <r>
      <rPr>
        <sz val="11"/>
        <rFont val="宋体"/>
        <family val="3"/>
        <charset val="134"/>
      </rPr>
      <t>：</t>
    </r>
    <r>
      <rPr>
        <sz val="11"/>
        <rFont val="Arial"/>
        <family val="2"/>
      </rPr>
      <t>6-8 Weeks</t>
    </r>
  </si>
  <si>
    <r>
      <t>Delivery Time</t>
    </r>
    <r>
      <rPr>
        <sz val="11"/>
        <rFont val="宋体"/>
        <family val="3"/>
        <charset val="134"/>
      </rPr>
      <t>：</t>
    </r>
    <r>
      <rPr>
        <sz val="11"/>
        <rFont val="Arial"/>
        <family val="2"/>
      </rPr>
      <t>6-8 Weeks</t>
    </r>
  </si>
  <si>
    <t>Can you please send name plate? Thanks</t>
  </si>
  <si>
    <r>
      <t>Delivery Time</t>
    </r>
    <r>
      <rPr>
        <sz val="10.5"/>
        <rFont val="宋体"/>
        <family val="3"/>
        <charset val="134"/>
      </rPr>
      <t>：</t>
    </r>
    <r>
      <rPr>
        <sz val="10.5"/>
        <rFont val="Arial"/>
        <family val="2"/>
      </rPr>
      <t>10 Days</t>
    </r>
  </si>
  <si>
    <r>
      <t>Delivery Time</t>
    </r>
    <r>
      <rPr>
        <sz val="10.5"/>
        <rFont val="宋体"/>
        <family val="3"/>
        <charset val="134"/>
      </rPr>
      <t>：</t>
    </r>
    <r>
      <rPr>
        <sz val="10.5"/>
        <rFont val="Arial"/>
        <family val="2"/>
      </rPr>
      <t>10-15 Days</t>
    </r>
  </si>
  <si>
    <t xml:space="preserve">Cannot find the relevant photo </t>
  </si>
  <si>
    <t>Still wait for quote</t>
  </si>
  <si>
    <t>Can you please send motor's name plate? Thanks</t>
  </si>
  <si>
    <t>Dreamz (Kalpana)</t>
  </si>
  <si>
    <t>Received Prices</t>
  </si>
  <si>
    <t>Taxes</t>
  </si>
  <si>
    <t>CEP cartridge is required without barrel casing, discharge elbow &amp; motor support (item no 19, 1 &amp; 10 respectively).</t>
  </si>
  <si>
    <t>Inquiry for CEP Cartridge</t>
  </si>
  <si>
    <t>Helen (OEM)</t>
  </si>
  <si>
    <t>Helen (Other)</t>
  </si>
  <si>
    <t>HQ</t>
  </si>
  <si>
    <t>United Control (Durga)</t>
  </si>
  <si>
    <t>Digital Promotors</t>
  </si>
  <si>
    <t>MAC401517320121</t>
  </si>
  <si>
    <t>SHFT PMP;PN:100-65-260/2</t>
  </si>
  <si>
    <t>PUMP SHAFT
OEM PART NO:  100-65-260/2 
VENDOR:  CHANGZHOU CITY WUPUMP CO  LTD</t>
  </si>
  <si>
    <t>MGS314117000194</t>
  </si>
  <si>
    <t>SEAL MECH;PN:100-65-260</t>
  </si>
  <si>
    <t>MECHANICAL SEAL
OEM PART NO:  100-65 -260
VENDOR:  CHANGZHOU CITYWU PUMP  CO LTD</t>
  </si>
  <si>
    <t>MGS311817050774</t>
  </si>
  <si>
    <t>SEAL RNG;(WBL)D600B-511000B,7</t>
  </si>
  <si>
    <t>SEAL, RING
VENDOR:  DONGFANG TURBINE  CO. LTD
DRAWING:(WBL)D600B-511000B
REV: A
POS: 7</t>
  </si>
  <si>
    <t>MGS311817050775</t>
  </si>
  <si>
    <t>SEAL RNG;(WBL)D600B-511000B,6</t>
  </si>
  <si>
    <t>SEAL, RING
VENDOR: DONGFANG TURBINE  CO. LTD
DRAWING:(WBL)D600B-511000B
REV: A
POS: 6</t>
  </si>
  <si>
    <t>turbine aur changhou</t>
  </si>
  <si>
    <t>MGS311817050776</t>
  </si>
  <si>
    <t>SEAL RNG;(WBL)D600B-511000B,5</t>
  </si>
  <si>
    <t>SEAL, RING
VENDOR:  DONGFANG TURBINE  CO. LTD
DRAWING:(WBL)D600B-511000B
REV: A
POS: 5</t>
  </si>
  <si>
    <t>Item</t>
  </si>
  <si>
    <t>Make</t>
  </si>
  <si>
    <t>Model/Part No</t>
  </si>
  <si>
    <t xml:space="preserve"> Doc5074023574 </t>
  </si>
  <si>
    <t>CAPACITOR</t>
  </si>
  <si>
    <t>CAPACITOR
TYPE: DC
CAPACITANCE: 0.47  MFD
KVA RATING: 2
VOLTAGE RATING:  2000 V
CURRENT RATING: 650 A
POWER  RATING: 2 KV
TOLERANCE: 10</t>
  </si>
  <si>
    <t>45</t>
  </si>
  <si>
    <t>CAPACITOR
TYPE: DC
CAPACITANCE: 0.22  MFD
KVA RATING: 2
VOLTAGE RATING:  2000 V
CURRENT RATING: 650 A
POWER  RATING: 10 KV
TOLERANCE: 10</t>
  </si>
  <si>
    <t>CONTACT KIT</t>
  </si>
  <si>
    <t xml:space="preserve"> 3TY7460-0YA</t>
  </si>
  <si>
    <t>CONTACT KIT
TYPE: AUXILIARY, MAIN
CONTACT ARRANGEMENT: 4NO-4NC
APPLICATION: POWER CONTACTOR (POLE QUANTITY: 3P VOLTAGE: 415/240 VAC 
MANUFACTURER PART NO:  3TY7460-0YA
VENDOR:  SIEMENS
EQUIP/TAG MODE: 3TF46
DUTY: AC3
PHASE QTY: 3PH</t>
  </si>
  <si>
    <t>3TY7490-0YA</t>
  </si>
  <si>
    <t>SIEMENS LTD</t>
  </si>
  <si>
    <t>CONTACT KIT
TYPE: MAIN
APPLICATION: POWER CONTACTOR
POLE QUANTITY: 3P
VOLTAGE: 415/240 VAC
FREQUENCY: 50 HZ)
AC3 DUTY, PHASE QTY: 3PH, 
AUXILIARY CONTACT: 4NO+4NC)
MANUFACTURER PART NO:  3TY7490-0YA
VENDOR:  SIEMENS LTD
EQUIP/TAG MODE: 3TF49</t>
  </si>
  <si>
    <t>Doc5007138466</t>
  </si>
  <si>
    <t>FUSE
TYPE: PT
VOLTAGE RATING: 20 KV
CURRENT RATING: 1 A
INTERRUPT  CAPACITY: 1 A
MATERIAL: CERAMIC
DIMENSIONS: LG 410 X DIA 55 MM</t>
  </si>
  <si>
    <t>APC Switchgear</t>
  </si>
  <si>
    <t>37% discount, Check email before offer</t>
  </si>
  <si>
    <t>Triac</t>
  </si>
  <si>
    <r>
      <rPr>
        <u/>
        <sz val="10"/>
        <rFont val="Calibri"/>
        <family val="2"/>
        <scheme val="minor"/>
      </rPr>
      <t>Terms &amp; Conditions</t>
    </r>
    <r>
      <rPr>
        <sz val="10"/>
        <rFont val="Calibri"/>
        <family val="2"/>
        <scheme val="minor"/>
      </rPr>
      <t xml:space="preserve">
Offer Basis FOR Plant basis.
Delivery Time: 18-22 weeks from date of receipt of confirm PO
G/Warranty: 12 months from date of DISPATCH - only for manufacturing defects
Payment Terms: 100% alongwith taxes etc. against PI.
Offer Validity: 31 days from date of offer.
Any statutory changes in rate of tax etc. will be applicable as on date of dispatch.
Minimum Order Qty.: N/A
Standard packaging will be done for supply of above items.
100% fitment &amp; interchangeability of offered products. In case of any discrepancy, we will replace items promptly for free of cost. </t>
    </r>
  </si>
  <si>
    <t>SN</t>
  </si>
  <si>
    <t>Code</t>
  </si>
  <si>
    <t>Long Description</t>
  </si>
  <si>
    <t>Qty required</t>
  </si>
  <si>
    <t>MHW311616370061</t>
  </si>
  <si>
    <t>MHW311616370063</t>
  </si>
  <si>
    <t>MHW311616370062</t>
  </si>
  <si>
    <t>MHW311616370054</t>
  </si>
  <si>
    <t>MHW311616370053</t>
  </si>
  <si>
    <t>MHW311632120015</t>
  </si>
  <si>
    <t>MHW311632120010</t>
  </si>
  <si>
    <t>MHW311632120014</t>
  </si>
  <si>
    <t>MHW311632120013</t>
  </si>
  <si>
    <t>MHW311632120012</t>
  </si>
  <si>
    <t>MHW311632120011</t>
  </si>
  <si>
    <t>MHW311632120016</t>
  </si>
  <si>
    <t>MHW311633010274</t>
  </si>
  <si>
    <t>MHW311617050205</t>
  </si>
  <si>
    <t>MHW311616130025</t>
  </si>
  <si>
    <t>MHW311616193185</t>
  </si>
  <si>
    <t>MHW311617050178</t>
  </si>
  <si>
    <t>MHW311617050179</t>
  </si>
  <si>
    <t>MHW311628142699</t>
  </si>
  <si>
    <t>MHW311628142697</t>
  </si>
  <si>
    <t>MHW311633010111</t>
  </si>
  <si>
    <t>MHW311632230006</t>
  </si>
  <si>
    <t>MHW311632230007</t>
  </si>
  <si>
    <t>MHW311632230008</t>
  </si>
  <si>
    <t>MHW311632230009</t>
  </si>
  <si>
    <t>MHW311632230010</t>
  </si>
  <si>
    <t>MHW311632230011</t>
  </si>
  <si>
    <t>MHW311632230022</t>
  </si>
  <si>
    <t>MHW311632230014</t>
  </si>
  <si>
    <t>MHW311632230015</t>
  </si>
  <si>
    <t>MHW311616201191</t>
  </si>
  <si>
    <t>MHW311616190223</t>
  </si>
  <si>
    <t>MHW311617160339</t>
  </si>
  <si>
    <t>MHW311616190217</t>
  </si>
  <si>
    <t>MHW311617160337</t>
  </si>
  <si>
    <t>MHW311616190222</t>
  </si>
  <si>
    <t>MHW311617160344</t>
  </si>
  <si>
    <t>MHW311616190226</t>
  </si>
  <si>
    <t>MHW311617160342</t>
  </si>
  <si>
    <t>MHW311616190218</t>
  </si>
  <si>
    <t>MHW311617050091</t>
  </si>
  <si>
    <t>MHW311616200785</t>
  </si>
  <si>
    <t>MHW311617271180</t>
  </si>
  <si>
    <t>MHW311616190556</t>
  </si>
  <si>
    <t>MHW311616190210</t>
  </si>
  <si>
    <t>MHW311617050092</t>
  </si>
  <si>
    <t>MHW311616190214</t>
  </si>
  <si>
    <t>MHW311617270282</t>
  </si>
  <si>
    <t>MACHINE BOLT 
TYPE: HIGH TENSION
HEAD STYLE: SOCKET
EQUIP/TAG MODEL:  N660-24.2/566/566
DRAWING: D600B-099500A007
MANUFACTURER: DONGFANG TURBINE CO. LTD
DRAWING: (WBL) D600H-102000A
POS: 2; MATERIAL: ALLOY STEEL GR 20CR1MO1VNBTIB
FOR HIGH PRESSURE 2ND STAGE DIAPHRAGM</t>
  </si>
  <si>
    <t>MACHINE BOLT 
TYPE: HIGH TENSION
HEAD STYLE: SOCKET
EQUIP/TAG MODEL:  N660-24.2/566/566
DRAWING: D600C-099150A001
MANUFACTURER: DONGFANG TURBINE CO. LTD
DRAWING: (WBL) D600H-106000A
POS: 3; MATERIAL: ALLOY STEEL 25CR2MOVA
FOR HP 6TH STAGE DIAPHRAGM</t>
  </si>
  <si>
    <t>MACHINE BOLT 
TYPE: HIGH TENSION
HEAD STYLE: SOCKET
EQUIP/TAG MODEL:  N660-24.2/566/566
DRAWING: D600C-099150A002
MANUFACTURER: DONGFANG TURBINE CO. LTD
DRAWING: (WBL) D600H-109000A
POS: 3; MATERIAL: ALLOY STEEL 20CR1MO1VNBTIB
FOR IP 1ST STAGE DIAPHRAGM</t>
  </si>
  <si>
    <t>MACHINE BOLT 
HEAD STYLE: SOCKET
EQUIP/TAG MODEL:  N660-24.2/566/566
DRAWING: D600B-099500A009
DRAWING: (WBL) D600B-136000C, POS: 8
MANUFACTURER: DONG FANG TURBINE CO. LTD.
MATERIAL: ALLOY STEEL, MATERIAL GRADE: 25CR2MOVA, F/BLP TURBINE SIDE 1ST STAGE DIAPHRAGM</t>
  </si>
  <si>
    <t>BOLT
HEAD STYLE: SOCKET
EQUIP/TAG MODEL:  N660-24.2/566/566
DRAWING: D600B-099500A010
DRAWING: (WBL)D600B-137000C, POS: 3
MANUFACTURER: DONG FANG TURBINE CO. LTD.
MATERIAL: ALLOY STEEL
MATERIAL GRADE: 25CR2MOVA
F/BLP TURBINE SIDE 2ND STAGE DIAPHRAGM</t>
  </si>
  <si>
    <t>PIN
EQUIP/TAG MODE: N660-24.2/566/566
DRAWING: D600C-098100A008
VENDOR: DONGFANG TURBINE CO. LTD
DRAWING: (WBL) D600H-098100A
F/HIP DIAPHRAGM STEAM SEAL</t>
  </si>
  <si>
    <t>PIN
EQUIP/TAG MODE: N660-24.2/566/566
DRAWING: D600C-098100A005
VENDOR: DONGFANG TURBINE CO. LTD
DRAWING: (WBL) D600H-098100A; F/HIP DIAPHRAGM STEAM SEAL</t>
  </si>
  <si>
    <t>PIN
EQUIP/TAG MODE: N660-24.2/566/566
DRAWING: D600B-098100A004
VENDOR: DONGFANG TURBINE CO. LTD
DRAWING: (WBL) D600H-098100A
F/HIP DIAPHRAGM STEAM SEAL</t>
  </si>
  <si>
    <t>PIN
EQUIP/TAG MODE: N660-24.2/566/566
DRAWING: D600B-098100A002
VENDOR: DONGFANG TURBINE CO. LTD
DRAWING: (WBL) D600H-098100A
F/HIP DIAPHRAGM STEAM SEAL</t>
  </si>
  <si>
    <t>PIN
EQUIP/TAG MODE: N660-24.2/566/566
DRAWING: D600C-098100A007
VENDOR: DONGFANG TURBINE CO. LTD
DRAWING: (WBL) D600H-098100A
 F/HIP DIAPHRAGM STEAM SEAL</t>
  </si>
  <si>
    <t>PIN
EQUIP/TAG MODE: N660-24.2/566/566
DRAWING: D600H-098100A001
VENDOR: DONGFANG TURBINE CO. LTD, DRAWING: (WBL) D600H-098100A; F/HIP DIAPHRAGM STEAM SEAL</t>
  </si>
  <si>
    <t>PIN
EQUIP/TAG MODE: N660-24.2/566/566
DRAWING: D600B-098200A001
VENDOR: DONGFANG TURBINE CO. LTD,
DRAWING: (WBL) D600H-098100A; F/HIP DIAPHRAGM STEAM SEAL</t>
  </si>
  <si>
    <t>STUD DOUBLE ENDED
TYPE: HIGH TEMPERATURE
 DIAMETER 1: 2 MM, DIAMETER 2: 2 MM
OVERALL LENGTH: 276 MM
APPLICATION: NOZZLE BOX ASSEMBLY
EQUIP/TAG MODEL:  N660-24.2/566/566
DRAWING: (WBL)-D600C-041000A01Q, POS: 4, MANUFACTURER: DONGFANG TURBINE CO. LTD</t>
  </si>
  <si>
    <t>CAP NUT
DIAMETER: 2 "
APPLICATION: NOZZLE BOX ASSEMBLY 
EQUIP/TAG MODEL: N660-24.2/566/566
DRAWING: (WBL) D600C-041000A01Q POS: 5
MANUFACTURER: DONG FANG TURBINE CO. LTD</t>
  </si>
  <si>
    <t>MACHINE BOLT
EQUIP/TAG MODEL:  N660-24.2/566/566
DRAWING: D600H-160200A001
DRAWING: (WAJ) D600H-160200A, POS: 20, MANUFACTURER: DONG FANG TURBINE CO. LTD</t>
  </si>
  <si>
    <t>STUD, CONTINUOUS THREAD
EQUIP/TAG MODEL:  N660-24.2/566/566
DRAWING: D600C-160120A010
DRAWING: (WAJ) D600H-160200A, POS: 22, MANUFACTURER: DONG FANG TURBINE CO. LTD.
MATERIAL: ALLOY STEEL
MATERIAL GRADE: 2CR12NIW1MO1V, F/STEAM SEAL BODY</t>
  </si>
  <si>
    <t>CAP NUT 
EQUIP/TAG MODEL:  N660-24.2/566/566
DRAWING: D600C-160120A011
DRAWING: (WAJ) D600H-160200A, POS: 23, MANUFACTURER: DONG FANG TURBINE CO. LTD.
MATERIAL: ALLOY STEEL
MATERIAL GRADE: 45CR1MOV, F/STEAM SEAL BODY</t>
  </si>
  <si>
    <t>CAP NUT
TYPE: SPLINED
EQUIP/TAG MODEL:  N660-24.2/566/566
DRAWING: D600H-160200A002
DRAWING: (WAJ) D600H-160200A
POS: 21
MANUFACTURER: DONG FANG TURBINE CO. LTD.
MATERIAL: ALLOY STEEL
MATERIAL GRADE: 45CR1MOV, F/STEAM SEAL BODY</t>
  </si>
  <si>
    <t>ASSEMBLY SCREW 
TYPE: FASTENER
OVERALL LENGTH: 18 MM
DIAMETER: M8, THREAD PITCH: 1.25 MM
HEAD STYLE: COUNTERSUNK
MATERIAL: ALLOY STEEL
MATERIAL GRADE: 35CRMOA
NUT QUANTITY: 1
THREAD SERIES: METRIC; FOR SHUTTLE CAR</t>
  </si>
  <si>
    <t>ASSEMBLY SCREW 
TYPE: FASTENER
OVERALL LENGTH: 12 MM
DIAMETER: M6, THREAD PITCH: 1 MM,
HEAD STYLE: COUNTERSUNK
MATERIAL: ALLOY STEEL
MATERIAL GRADE: 35CRMOA
NUT QUANTITY: 1
THREAD SERIES: METRIC
THREAD LENGTH: FULL THREADED; FOR SHUTTLE CAR</t>
  </si>
  <si>
    <t>STUD, DOUBLE ENDED
DIAMETER 1: M48
DIAMETER 2: M48
OVERALL LENGTH: 340 MM
THREAD PITCH 1: 3 MM, THREAD PITCH 2: 3 MM
THREAD SERIES 1: METRIC, THREAD SERIES 2: METRIC, THREAD LENGTH 1: 128 MM, THREAD LENGTH 2: 65 MM, MATERIAL: ALLOY STEEL
MATERIAL GRADE: 25CR2MOVA-5/686
DRAWING: PMPL/IPP/MECH//SLD/450</t>
  </si>
  <si>
    <t>KEY
TYPE: RECTANGULAR
EQUIP/TAG MODEL:  N660-24.2/566/566
DRAWING: D600C-029620A003
DRAWING: (WBL) D600C-029620A, POS: 3
MANUFACTURER: DONG FANG TURBINE CO. LTD.
MATERIAL: ALLOY STEEL
MATERIAL GRADE: 20CR1MO1VNBTIB, F/HP INNER CASING HORIZONTAL KEY</t>
  </si>
  <si>
    <t>KEY
TYPE: RECTANGULAR
EQUIP/TAG MODEL:  N660-24.2/566/566
DRAWING: D600C-029620A004
DRAWING: (WBL) D600C-029620A, POS: 4
MANUFACTURER: DONG FANG TURBINE CO. LTD.
MATERIAL: ALLOY STEEL
MATERIAL GRADE: 20CR1MO1VNBTIB, F/HP INNER CASING HORIZONTAL KEY</t>
  </si>
  <si>
    <t>KEY
TYPE: RECTANGULAR
EQUIP/TAG MODEL:  N660-24.2/566/566
DRAWING: D600C-029620A005
DRAWING: (WBL) D600C-029620A, POS: 5
MANUFACTURER: DONG FANG TURBINE CO. LTD.
MATERIAL: ALLOY STEEL, MATERIAL GRADE: 20CR1MO1VNBTIB, F/HP INNER CASING HORIZONTAL KEY</t>
  </si>
  <si>
    <t>KEY
TYPE: RECTANGULAR
EQUIP/TAG MODEL:  N660-24.2/566/566
DRAWING: D600C-029620A006
DRAWING: (WBL) D600C-029620A, POS: 6
MANUFACTURER: DONG FANG TURBINE CO. LTD.
MATERIAL: ALLOY STEEL, MATERIAL GRADE: 20CR1MO1VNBTIB, F/HP INNER CASING HORIZONTAL KEY</t>
  </si>
  <si>
    <t>KEY
TYPE: RECTANGULAR
EQUIP/TAG MODEL:  N660-24.2/566/566
DRAWING: D600C-029620A007
DRAWING: (WBL) D600C-029620A, POS: 7
MANUFACTURER: DONG FANG TURBINE CO. LTD.
MATERIAL: ALLOY STEEL
MATERIAL GRADE: 20CR1MO1VNBTIB, F/HP INNER CASING HORIZONTAL KEY</t>
  </si>
  <si>
    <t>KEY
TYPE: RECTANGULAR
EQUIP/TAG MODEL:  N660-24.2/566/566
DRAWING: D600C-029620A008
DRAWING: (WBL) D600C-029620A, POS: 8
MANUFACTURER: DONG FANG TURBINE CO. LTD.
MATERIAL: ALLOY STEEL
MATERIAL GRADE: 20CR1MO1VNBTIB, F/HP INNER CASING HORIZONTAL KEY</t>
  </si>
  <si>
    <t>KEY
TYPE: RECTANGULAR
EQUIP/TAG MODEL:  N660-24.2/566/566
DRAWING: D600C-029610A001
DRAWING: (WBL)D600C-029610A, POS: 1
MANUFACTURER: DONG FANG TURBINE CO. LTD.
MATERIAL: ALLOY STEEL
MATERIAL GRADE: 20CR1MO1VNBTIB, F/HIP INNER CASING HORIZONTAL KEY</t>
  </si>
  <si>
    <t>KEY
TYPE: RECTANGULAR
EQUIP/TAG MODEL:  N660-24.2/566/566
DRAWING: D600C-029610A002
DRAWING: (WBL) D600C-029610A, POS: 2
MANUFACTURER: DONG FANG TURBINE CO. LTD.
MATERIAL: ALLOY STEEL
MATERIAL GRADE: 20CR1MO1VNBTIB, F/HIP INNER CASING HORIZONTAL KEY</t>
  </si>
  <si>
    <t>KEY
TYPE: RECTANGULAR
EQUIP/TAG MODEL:  N660-24.2/566/566
DRAWING: D600C-029610A003
DRAWING: (WBL) D600C-029610A, POS: 3
MANUFACTURER: DONG FANG TURBINE CO. LTD.
MATERIAL: ALLOY STEEL
MATERIAL GRADE: 20CR1MO1VNBTIB, F/HIP INNER CASING HORIZONTAL KEY</t>
  </si>
  <si>
    <t>BOLT
TYPE: SPLIT
OVERALL LENGTH: 120 MM, DIAMETER: 1-1/2 "
THREAD PITCH: 8UN TPI
THREAD LENGTH: FULL, HEAD STYLE: HEXAGONAL, MATERIAL: ALLOY STEEL
MATERIAL GRADE: X22CRMOV12-1, APPLICATION: LP INNER CYLINDER
DRAWING: D600B-030500A010
VENDOR: DONGFANG TURBINE CO. LTD</t>
  </si>
  <si>
    <t>STUD
TYPE: HIGH TENSILE
DIAMETER: 3 ""
MATERIAL: ALLOY STEEL
MATERIAL GRADE: 2CR12NIMO1W1V
THREAD SERIES: UNC
OEM PART NO:  D600C-028000A020
VENDOR:  DONGFENG ELECTRIC CO
DRAWING: D600H-028000A; POS: 15"</t>
  </si>
  <si>
    <t>NUT
TYPE: HT GROOVED
DIAMETER: 2-1/2 ", THREAD PITCH: 8 TPI
MATERIAL: ALLOY STEEL GR 45CR1MOV
APPLICATION: HIP TURBINE
OEM PART NO:  D600B-028000A023
VENDOR:  DONGFENG ELECTRIC CO
DRAWING: D600H-028000A, POS: 23</t>
  </si>
  <si>
    <t>STUD
TYPE: HIGH TENSILE
OVERALL LENGTH: 448 MM
DIAMETER: 3-1/2 ""
MATERIAL: ALLOY STEEL
MATERIAL GRADE: 45CR1MOV
THREAD SERIES: UNC
APPLICATION: LOW PRESSURE TURBINE
OEM PART NO:  D600B-030500A001
VENDOR:  DONGFENG ELECTRIC CO
DRAWING: D600B-030500A; POS: 5</t>
  </si>
  <si>
    <t>NUT
TYPE: HT GROOVED
DIAMETER: 3-1/2 IN
THREAD PITCH: 8 TPI
MATERIAL: ALLOY STEEL
MATERIAL GRADE: 45CR1MOV
APPLICATION: LP TURBINE
OEM PART NO: D600B-030500A002
OEM:  DONGFENG ELECTRIC CO
 DRAWING: (WBL) D600B-030500A, POS: 6</t>
  </si>
  <si>
    <t>STUD
TYPE: HIGH TENSION
OVERALL LENGTH: 22 MM
DIAMETER: 3
MATERIAL: ALLOY STEEL GR 45CR1MOV
THREAD SERIES: 8 UNC; APPLICATION: LP TURBINE
OEM PART NO:  D600B-030500A003
VENDOR:  DONGFENG ELECTRIC CO
DRAWING: D600B-030500A; POS: 8"</t>
  </si>
  <si>
    <t>NUT
TYPE: HT GROOVED
DIAMETER: 3 IN
THREAD PITCH: 8 TPI
MATERIAL: ALLOY STEEL
MATERIAL GRADE: 45CR1MOV
APPLICATION: LP TURBINE
OEM PART NO: D600B-030500A004
OEM:  DONGFENG ELECTRIC CO
DRAWING: (WBL) D600B-030500A, POS: 9</t>
  </si>
  <si>
    <t>STUD
TYPE: HIGH TENSION
OVERALL LENGTH: 410 MM
DIAMETER: 2-1/2 ""
MATERIAL: ALLOY STEEL GR 45CR1MOV
THREAD SERIES: 8 UNC; APPLICATION: LP TURBINE
OEM PART NO:  D600B-030500A005
VENDOR:  DONGFENG ELECTRIC CO
DRAWING: D600B-030500A; POS: 11"</t>
  </si>
  <si>
    <t>NUT
TYPE: HT GROOVED
DIAMETER: 2-1/2 "
THREAD PITCH: 8 TPI
MATERIAL: ALLOY STEEL GR 45CR1MOV
APPLICATION: LP TURBINE
OEM PART NO:  D600B-030500A006,
VENDOR:  DONGFENG ELECTRIC CO
DRAWING: D600B-030500A, POS: 12</t>
  </si>
  <si>
    <t>STUD
TYPE: HIGH TENSILE
OVERALL LENGTH: 292 MM
DIAMETER: 2 "" 
MATERIAL: ALLOY STEEL GR 45CR1MOV
MATERIAL GRADE: 45CR1MOV
THREAD SERIES: UNC; APPLICATION: LOW PRESSURE TURBINE
OEM PART NO:  D600B-030500A007
VENDOR:  DONGFENG ELECTRIC CO
DRAWING: D600B-030500A; POS: 14"</t>
  </si>
  <si>
    <t>NUT
TYPE: HT COVER
DIAMETER: 2-1/2 IN
THREAD PITCH: 8 TPI
MATERIAL: ALLOY STEEL
MATERIAL GRADE: 45CR1MOV
APPLICATION: LP TURBINE
OEM PART NO: D600B-030500A008
OEM:  DONGFENG ELECTRIC CO
DRAWING: (WBL) D600B-030500A, POS: 15</t>
  </si>
  <si>
    <t>BOLT MACHINE
TYPE: HIGH TENSION
HEAD STYLE: HEXAGONAL
MATERIAL: ALLOY STEEL GR 45CR1MOV
MATERIAL GRADE: 45CR1MOV
OEM PART NO:  D600B-030500A009
VENDOR:  DONGFENG ELECTRIC CO
EQUIP/TAG MODE: BLT HEX HD;D600B-030500A009 LPT; DRAWING: D600B-030500A, POS: 17; F/LP TURBINE</t>
  </si>
  <si>
    <t>NUT
TYPE: HEXAGONAL
DIAMETER: 2 IN
THREAD PITCH: 8 TPI
EQUIP/TAG MODEL: N660-24.2/566/566
DRAWING: D600B-030500A012
MANUFACTURER: DONG FANG TURBINE CO. LTD.
DRAWING: (WBL) D660E-033000A POS: 7
MATERIAL: ALLOY STEEL GR 45CR1MOV
FOR LP OUTER CYLINDER</t>
  </si>
  <si>
    <t>STUD
TYPE: HIGH TENSILE
OVERALL LENGTH: 258 MM
DIAMETER: 2 ""
MATERIAL: ALLOY STEEL GR 45CR1MOV
MATERIAL GRADE: 45CR1MOV
THREAD SERIES: UNC; APPLICATION: LOW PRESSURE TURBINE
OEM PART NO:  D600B-030500A013
VENDOR:  DONGFENG ELECTRIC CO
 DRAWING: D600B-030500A; POS: 26"</t>
  </si>
  <si>
    <t>STUD
TYPE: HIGH TENSILE
OVERALL LENGTH: 266 MM
DIAMETER: 2 ""
MATERIAL: ALLOY STEEL GR 45CR1MOV
MATERIAL GRADE: 45CR1MOV
APPLICATION: LOW PRESSURE TURBINE
OEM PART NO:  D600B-030500A017
VENDOR:  DONGFENG ELECTRIC CO
DRAWING: D600B-030500A; POS: 33"</t>
  </si>
  <si>
    <t>NUT
TYPE: HT COVER
DIAMETER: 2 IN
THREAD PITCH: 8 TPI
MATERIAL: ALLOY STEEL
MATERIAL GRADE: 45CR1MOV
APPLICATION: LP TURBINE
OEM PART NO: D600B-030500A018
OEM:  DONGFENG ELECTRIC CO
DRAWING: (WBL) D600B-030500A, POS: 34</t>
  </si>
  <si>
    <t>STUD
TYPE: HIGH TENSILE
OVERALL LENGTH: 271 MM
DIAMETER: 2 ""
MATERIAL: ALLOY STEEL
MATERIAL GRADE: 45CR1MOV
THREAD SERIES: UNC
APPLICATION: LOW PRESSURE TURBINE;
OEM PART NO:  D600B-030500A019
VENDOR:  DONGFENG ELECTRIC CO.
DRAWING: D600B-030500A; POS: 36"</t>
  </si>
  <si>
    <t>NUT
HEXAGON; THREAD DIAMETER: 1-1/2 "
THREAD PITCH: 8UN TPI
WIDTH ACROSS FLATS: 2-3/8 "
MATERIAL: ALLOY STEEL
MATERIAL GRADE: X22CRMOV12-1
SPECIFICATION: LP INLET CHAMBER
DRAWING: D600B-030500A016
 VENDOR: DONGFANG TURBINE CO. LTD</t>
  </si>
  <si>
    <t>S No.</t>
  </si>
  <si>
    <t>Part No.</t>
  </si>
  <si>
    <t>cylindrical type 1</t>
  </si>
  <si>
    <t>K4651.20-12</t>
  </si>
  <si>
    <t>MAC401018510091</t>
  </si>
  <si>
    <t>cylindrical type 2</t>
  </si>
  <si>
    <t>K4651.20-13</t>
  </si>
  <si>
    <t>MAC401018510092</t>
  </si>
  <si>
    <t>oblique wave type 1</t>
  </si>
  <si>
    <t>K4651.20-10</t>
  </si>
  <si>
    <t>MAC401018510086</t>
  </si>
  <si>
    <t>oblique wave type 2</t>
  </si>
  <si>
    <t>K4651.20-11</t>
  </si>
  <si>
    <t>MAC401018510371</t>
  </si>
  <si>
    <t>oblique wave type 3</t>
  </si>
  <si>
    <t>K4651.20-15</t>
  </si>
  <si>
    <t>MAC401018510360</t>
  </si>
  <si>
    <t>oblique wave type 4</t>
  </si>
  <si>
    <t>K4651.20-16</t>
  </si>
  <si>
    <t>MAC401018510087</t>
  </si>
  <si>
    <t>outer conical short</t>
  </si>
  <si>
    <t>K4651.20-4</t>
  </si>
  <si>
    <t>MAC401018510088</t>
  </si>
  <si>
    <t>outer conical long</t>
  </si>
  <si>
    <t>K4651.20-3</t>
  </si>
  <si>
    <t>MAC401018510094</t>
  </si>
  <si>
    <t>Inner conical boss</t>
  </si>
  <si>
    <t>K4651.20-2</t>
  </si>
  <si>
    <t>MAC401018510090</t>
  </si>
  <si>
    <t>Inner conical</t>
  </si>
  <si>
    <t>K4651.20-1</t>
  </si>
  <si>
    <t>MAC401018510085</t>
  </si>
  <si>
    <t>Bolt type 1</t>
  </si>
  <si>
    <t>K4651.20-14</t>
  </si>
  <si>
    <t>MOM441221120003</t>
  </si>
  <si>
    <t>Bolt type 2</t>
  </si>
  <si>
    <t>K4651.20-9</t>
  </si>
  <si>
    <t>MOM441221120002</t>
  </si>
  <si>
    <t>Bolt type 3</t>
  </si>
  <si>
    <t>K4651.20-8</t>
  </si>
  <si>
    <t>MHW311616001669</t>
  </si>
  <si>
    <t>Bolt type 4</t>
  </si>
  <si>
    <t>K4651.20-5</t>
  </si>
  <si>
    <t>MOM441221120004</t>
  </si>
  <si>
    <t xml:space="preserve"> Motor Cooling Fan  (Clock wise and anticlockwise direction motors)</t>
  </si>
  <si>
    <t>PART NAME : PH SENSOR
TYPE : PH
MEASUREMENT RANGE: 0 - 14 pH
ELECTRICAL CONNECTION SIZE : 3/4" NPT
OUTPUT SIGNAL : 4-20 mA
MODEL NO : PH8022</t>
  </si>
  <si>
    <t>PART NAME : CONDUCTIVITY SENSOR
TYPE : FLOW
MEASUREMENT RANGE : 0 - 0.2 mS/cm
CONNECTION SIZE : 3/4 MM
CONNECTION TYPE : NPT
CELL CONSTANT : 0.1
PRESSURE RATING : 0.6 MPa
TEMPERATURE RATING: 0 - 300 °C
SPECIFICATION : SPECIFIC CONDUCTIVITY
MODEL NO : DDG-0.1</t>
  </si>
  <si>
    <t>PART NAME : CONDUCTIVITY SENSOR
TYPE : FLOW
MEASUREMENT RANGE : 0 – 0.02 mS/cm
CONNECTION SIZE : 3/4 MM
CONNECTION TYPE : NPT
CELL CONSTANT : 0.01
PRESSURE RATING : 0.6 MPa
TEMPERATURE RATING: 0 - 300 °C
SPECIFICATION : CATION CONDUCTIVITY
MODEL NO : DDG-0.01</t>
  </si>
  <si>
    <t>PART NAME : CONDUCTIVITY ANALYZER
TYPE : CONDUCTIVITY
MEASUREMENT RANGE : 0 - 20000 µS/cm
POWER SUPPLY : 90 - 260 V AC
COMMUNICATION : RS485 MODBUS
MODEL NO : DDG-3080</t>
  </si>
  <si>
    <t>Item: ID Fan Labyrinth Seal</t>
  </si>
  <si>
    <t xml:space="preserve">Remarks </t>
  </si>
  <si>
    <t xml:space="preserve">Set of Inner and Outer Labyrinth seal, As per the drawing, MOC: ASTM B211M-02 </t>
  </si>
  <si>
    <t>Tax</t>
  </si>
  <si>
    <t>G Total</t>
  </si>
  <si>
    <t>Rate given by R Sir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</si>
</sst>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[$-409]d\-mmm\-yy;@"/>
    <numFmt numFmtId="167" formatCode="_([$INR]\ * #,##0.00_);_([$INR]\ * \(#,##0.00\);_([$INR]\ * &quot;-&quot;??_);_(@_)"/>
    <numFmt numFmtId="168" formatCode="_(* #,##0.0_);_(* \(#,##0.0\);_(* &quot;-&quot;??_);_(@_)"/>
    <numFmt numFmtId="169" formatCode="_-[$$-409]* #,##0.00_ ;_-[$$-409]* \-#,##0.00\ ;_-[$$-409]* &quot;-&quot;??_ ;_-@_ "/>
    <numFmt numFmtId="170" formatCode="_ [$₹-4009]\ * #,##0.00_ ;_ [$₹-4009]\ * \-#,##0.00_ ;_ [$₹-4009]\ * &quot;-&quot;??_ ;_ @_ "/>
    <numFmt numFmtId="171" formatCode="_ [$¥-804]* #,##0.00_ ;_ [$¥-804]* \-#,##0.00_ ;_ [$¥-804]* &quot;-&quot;??_ ;_ @_ "/>
    <numFmt numFmtId="172" formatCode="_-[$$-409]* #,##0_ ;_-[$$-409]* \-#,##0\ ;_-[$$-409]* &quot;-&quot;??_ ;_-@_ "/>
    <numFmt numFmtId="173" formatCode="_ [$₹-4009]\ * #,##0_ ;_ [$₹-4009]\ * \-#,##0_ ;_ [$₹-4009]\ * &quot;-&quot;??_ ;_ @_ "/>
    <numFmt numFmtId="174" formatCode="\$#,##0.00_);[Red]\(\$#,##0.00\)"/>
    <numFmt numFmtId="175" formatCode="\$#,##0.00;\-\$#,##0.00"/>
    <numFmt numFmtId="176" formatCode="_ [$₹-4009]\ * #,##0.0_ ;_ [$₹-4009]\ * \-#,##0.0_ ;_ [$₹-4009]\ * &quot;-&quot;?_ ;_ @_ "/>
  </numFmts>
  <fonts count="62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name val="Calibri"/>
      <family val="2"/>
      <scheme val="minor"/>
    </font>
    <font>
      <sz val="8"/>
      <color theme="1"/>
      <name val="Adani Regular"/>
    </font>
    <font>
      <sz val="11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0"/>
      <color theme="1"/>
      <name val="Cambria"/>
      <family val="1"/>
      <scheme val="major"/>
    </font>
    <font>
      <b/>
      <sz val="10"/>
      <color rgb="FF000000"/>
      <name val="Cambria"/>
      <family val="1"/>
      <scheme val="major"/>
    </font>
    <font>
      <b/>
      <sz val="10"/>
      <name val="Cambria"/>
      <family val="1"/>
      <scheme val="major"/>
    </font>
    <font>
      <sz val="10"/>
      <color rgb="FF000000"/>
      <name val="Cambria"/>
      <family val="1"/>
      <scheme val="major"/>
    </font>
    <font>
      <sz val="10"/>
      <name val="Cambria"/>
      <family val="1"/>
      <scheme val="major"/>
    </font>
    <font>
      <b/>
      <u/>
      <sz val="10"/>
      <name val="Cambria"/>
      <family val="1"/>
      <scheme val="major"/>
    </font>
    <font>
      <sz val="9"/>
      <color rgb="FF000000"/>
      <name val="Cambria"/>
      <family val="1"/>
      <scheme val="major"/>
    </font>
    <font>
      <b/>
      <sz val="10"/>
      <color rgb="FF000000"/>
      <name val="Tahoma"/>
      <family val="2"/>
    </font>
    <font>
      <b/>
      <sz val="10"/>
      <name val="Tahoma"/>
      <family val="2"/>
    </font>
    <font>
      <sz val="10"/>
      <color rgb="FF000000"/>
      <name val="Tahoma"/>
      <family val="2"/>
    </font>
    <font>
      <sz val="10"/>
      <color theme="1"/>
      <name val="Tahoma"/>
      <family val="2"/>
    </font>
    <font>
      <sz val="10"/>
      <name val="Tahoma"/>
      <family val="2"/>
    </font>
    <font>
      <b/>
      <u/>
      <sz val="10"/>
      <name val="Tahoma"/>
      <family val="2"/>
    </font>
    <font>
      <b/>
      <u/>
      <sz val="10"/>
      <color rgb="FF000000"/>
      <name val="Cambria"/>
      <family val="1"/>
      <scheme val="major"/>
    </font>
    <font>
      <b/>
      <sz val="10"/>
      <color rgb="FF7030A0"/>
      <name val="Tahoma"/>
      <family val="2"/>
    </font>
    <font>
      <b/>
      <sz val="10"/>
      <color rgb="FF00B050"/>
      <name val="Tahoma"/>
      <family val="2"/>
    </font>
    <font>
      <b/>
      <sz val="10"/>
      <color theme="1"/>
      <name val="Tahoma"/>
      <family val="2"/>
    </font>
    <font>
      <b/>
      <sz val="10"/>
      <color rgb="FF000000"/>
      <name val="Calibri Light"/>
      <family val="2"/>
    </font>
    <font>
      <b/>
      <sz val="10"/>
      <name val="Calibri Light"/>
      <family val="2"/>
    </font>
    <font>
      <sz val="10"/>
      <color theme="1"/>
      <name val="Calibri Light"/>
      <family val="2"/>
    </font>
    <font>
      <sz val="10"/>
      <color rgb="FF000000"/>
      <name val="Calibri Light"/>
      <family val="2"/>
    </font>
    <font>
      <sz val="10"/>
      <name val="Calibri Light"/>
      <family val="2"/>
    </font>
    <font>
      <b/>
      <u/>
      <sz val="10"/>
      <name val="Calibri Light"/>
      <family val="2"/>
    </font>
    <font>
      <sz val="9"/>
      <color rgb="FF000000"/>
      <name val="Calibri"/>
      <family val="2"/>
    </font>
    <font>
      <sz val="8"/>
      <color rgb="FF000000"/>
      <name val="Calibri"/>
      <family val="2"/>
    </font>
    <font>
      <sz val="9"/>
      <color theme="1"/>
      <name val="Calibri"/>
      <family val="2"/>
    </font>
    <font>
      <sz val="9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name val="Arial"/>
      <family val="2"/>
    </font>
    <font>
      <sz val="14"/>
      <color indexed="81"/>
      <name val="Tahoma"/>
      <family val="2"/>
    </font>
    <font>
      <b/>
      <sz val="14"/>
      <color indexed="81"/>
      <name val="Tahoma"/>
      <family val="2"/>
    </font>
    <font>
      <b/>
      <u/>
      <sz val="10"/>
      <color theme="1"/>
      <name val="Calibri"/>
      <family val="2"/>
      <scheme val="minor"/>
    </font>
    <font>
      <u/>
      <sz val="10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indexed="8"/>
      <name val="Arial"/>
      <family val="2"/>
    </font>
    <font>
      <sz val="11"/>
      <name val="Arial"/>
      <family val="2"/>
    </font>
    <font>
      <sz val="10.5"/>
      <name val="Arial"/>
      <family val="2"/>
    </font>
    <font>
      <sz val="10.5"/>
      <color rgb="FF000000"/>
      <name val="Arial"/>
      <family val="2"/>
    </font>
    <font>
      <sz val="11"/>
      <color rgb="FF000000"/>
      <name val="宋体"/>
      <family val="3"/>
      <charset val="134"/>
    </font>
    <font>
      <sz val="11"/>
      <color theme="1"/>
      <name val="Calibri"/>
      <family val="3"/>
      <charset val="134"/>
      <scheme val="minor"/>
    </font>
    <font>
      <sz val="10.5"/>
      <name val="宋体"/>
      <family val="3"/>
      <charset val="134"/>
    </font>
    <font>
      <sz val="11"/>
      <name val="宋体"/>
      <family val="3"/>
      <charset val="134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9"/>
      <name val="Calibri"/>
      <family val="2"/>
      <scheme val="minor"/>
    </font>
    <font>
      <sz val="9"/>
      <color rgb="FF000000"/>
      <name val="Arial"/>
      <family val="2"/>
    </font>
    <font>
      <b/>
      <sz val="9"/>
      <color theme="1"/>
      <name val="Calibri"/>
      <family val="2"/>
      <scheme val="minor"/>
    </font>
    <font>
      <sz val="10"/>
      <color rgb="FF22222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3">
    <xf numFmtId="0" fontId="0" fillId="0" borderId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38" fillId="0" borderId="0"/>
    <xf numFmtId="9" fontId="8" fillId="0" borderId="0" applyFont="0" applyFill="0" applyBorder="0" applyAlignment="0" applyProtection="0"/>
    <xf numFmtId="0" fontId="8" fillId="0" borderId="0"/>
    <xf numFmtId="165" fontId="8" fillId="0" borderId="0" applyFont="0" applyFill="0" applyBorder="0" applyAlignment="0" applyProtection="0"/>
    <xf numFmtId="0" fontId="38" fillId="0" borderId="0">
      <alignment vertical="center"/>
    </xf>
    <xf numFmtId="0" fontId="51" fillId="0" borderId="0"/>
    <xf numFmtId="0" fontId="51" fillId="0" borderId="0"/>
    <xf numFmtId="0" fontId="50" fillId="0" borderId="0">
      <protection locked="0"/>
    </xf>
    <xf numFmtId="0" fontId="51" fillId="0" borderId="0"/>
    <xf numFmtId="0" fontId="8" fillId="0" borderId="0"/>
  </cellStyleXfs>
  <cellXfs count="443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165" fontId="2" fillId="0" borderId="0" xfId="1" applyFont="1" applyAlignment="1">
      <alignment vertical="center"/>
    </xf>
    <xf numFmtId="165" fontId="7" fillId="0" borderId="7" xfId="1" applyFont="1" applyBorder="1" applyAlignment="1">
      <alignment vertical="center"/>
    </xf>
    <xf numFmtId="165" fontId="7" fillId="0" borderId="7" xfId="1" applyFont="1" applyBorder="1" applyAlignment="1">
      <alignment vertical="center" wrapText="1"/>
    </xf>
    <xf numFmtId="165" fontId="2" fillId="0" borderId="7" xfId="1" applyFont="1" applyBorder="1" applyAlignment="1">
      <alignment vertical="center"/>
    </xf>
    <xf numFmtId="165" fontId="2" fillId="0" borderId="7" xfId="0" applyNumberFormat="1" applyFont="1" applyBorder="1" applyAlignment="1">
      <alignment horizontal="center" vertical="center" wrapText="1"/>
    </xf>
    <xf numFmtId="9" fontId="5" fillId="0" borderId="7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65" fontId="2" fillId="0" borderId="8" xfId="1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0" fillId="0" borderId="19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20" xfId="0" applyFont="1" applyBorder="1" applyAlignment="1">
      <alignment vertical="center"/>
    </xf>
    <xf numFmtId="0" fontId="10" fillId="0" borderId="20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21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166" fontId="10" fillId="0" borderId="22" xfId="0" applyNumberFormat="1" applyFont="1" applyBorder="1" applyAlignment="1">
      <alignment vertical="center"/>
    </xf>
    <xf numFmtId="0" fontId="10" fillId="0" borderId="23" xfId="0" applyFont="1" applyBorder="1" applyAlignment="1">
      <alignment vertical="center"/>
    </xf>
    <xf numFmtId="166" fontId="10" fillId="0" borderId="23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7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center" vertical="center" wrapText="1"/>
    </xf>
    <xf numFmtId="165" fontId="14" fillId="0" borderId="7" xfId="1" applyFont="1" applyBorder="1" applyAlignment="1">
      <alignment horizontal="center" vertical="center"/>
    </xf>
    <xf numFmtId="165" fontId="14" fillId="0" borderId="7" xfId="1" applyFont="1" applyBorder="1" applyAlignment="1">
      <alignment vertical="center"/>
    </xf>
    <xf numFmtId="167" fontId="12" fillId="0" borderId="18" xfId="1" applyNumberFormat="1" applyFont="1" applyBorder="1" applyAlignment="1">
      <alignment vertical="center"/>
    </xf>
    <xf numFmtId="0" fontId="14" fillId="0" borderId="9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6" fillId="0" borderId="7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/>
    </xf>
    <xf numFmtId="165" fontId="14" fillId="0" borderId="7" xfId="1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166" fontId="10" fillId="0" borderId="22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20" fillId="0" borderId="19" xfId="0" applyFont="1" applyBorder="1" applyAlignment="1">
      <alignment vertical="center"/>
    </xf>
    <xf numFmtId="0" fontId="20" fillId="0" borderId="14" xfId="0" applyFont="1" applyBorder="1" applyAlignment="1">
      <alignment vertical="center"/>
    </xf>
    <xf numFmtId="0" fontId="20" fillId="0" borderId="20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21" xfId="0" applyFont="1" applyBorder="1" applyAlignment="1">
      <alignment vertical="center"/>
    </xf>
    <xf numFmtId="0" fontId="20" fillId="0" borderId="22" xfId="0" applyFont="1" applyBorder="1" applyAlignment="1">
      <alignment vertical="center"/>
    </xf>
    <xf numFmtId="166" fontId="20" fillId="0" borderId="22" xfId="0" applyNumberFormat="1" applyFont="1" applyBorder="1" applyAlignment="1">
      <alignment horizontal="center" vertical="center"/>
    </xf>
    <xf numFmtId="0" fontId="20" fillId="0" borderId="23" xfId="0" applyFont="1" applyBorder="1" applyAlignment="1">
      <alignment vertical="center"/>
    </xf>
    <xf numFmtId="166" fontId="20" fillId="0" borderId="23" xfId="0" applyNumberFormat="1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 wrapText="1"/>
    </xf>
    <xf numFmtId="165" fontId="21" fillId="0" borderId="7" xfId="1" applyFont="1" applyBorder="1" applyAlignment="1">
      <alignment horizontal="center" vertical="center"/>
    </xf>
    <xf numFmtId="165" fontId="21" fillId="0" borderId="7" xfId="1" applyFont="1" applyBorder="1" applyAlignment="1">
      <alignment vertical="center"/>
    </xf>
    <xf numFmtId="167" fontId="18" fillId="0" borderId="18" xfId="1" applyNumberFormat="1" applyFont="1" applyBorder="1" applyAlignment="1">
      <alignment vertical="center"/>
    </xf>
    <xf numFmtId="0" fontId="21" fillId="0" borderId="9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left" wrapText="1"/>
    </xf>
    <xf numFmtId="0" fontId="20" fillId="0" borderId="7" xfId="0" applyFont="1" applyBorder="1" applyAlignment="1">
      <alignment horizontal="center" vertical="center"/>
    </xf>
    <xf numFmtId="0" fontId="19" fillId="0" borderId="7" xfId="0" applyFont="1" applyBorder="1" applyAlignment="1">
      <alignment horizontal="left" vertical="center" wrapText="1"/>
    </xf>
    <xf numFmtId="165" fontId="10" fillId="0" borderId="0" xfId="0" applyNumberFormat="1" applyFont="1" applyAlignment="1">
      <alignment vertical="center"/>
    </xf>
    <xf numFmtId="165" fontId="14" fillId="0" borderId="10" xfId="1" applyFont="1" applyBorder="1" applyAlignment="1">
      <alignment horizontal="center" vertical="center"/>
    </xf>
    <xf numFmtId="0" fontId="13" fillId="0" borderId="7" xfId="0" applyFont="1" applyBorder="1" applyAlignment="1">
      <alignment horizontal="center"/>
    </xf>
    <xf numFmtId="0" fontId="13" fillId="0" borderId="7" xfId="0" applyFont="1" applyBorder="1" applyAlignment="1">
      <alignment wrapText="1"/>
    </xf>
    <xf numFmtId="0" fontId="13" fillId="0" borderId="7" xfId="0" applyFont="1" applyBorder="1" applyAlignment="1">
      <alignment vertical="center" wrapText="1"/>
    </xf>
    <xf numFmtId="0" fontId="24" fillId="0" borderId="7" xfId="0" applyFont="1" applyBorder="1" applyAlignment="1">
      <alignment horizontal="left" vertical="center" wrapText="1"/>
    </xf>
    <xf numFmtId="0" fontId="25" fillId="0" borderId="7" xfId="0" applyFont="1" applyBorder="1" applyAlignment="1">
      <alignment horizontal="left" vertical="center" wrapText="1"/>
    </xf>
    <xf numFmtId="0" fontId="26" fillId="0" borderId="7" xfId="0" applyFont="1" applyBorder="1" applyAlignment="1">
      <alignment horizontal="left" vertical="center" wrapText="1"/>
    </xf>
    <xf numFmtId="0" fontId="21" fillId="0" borderId="7" xfId="0" applyFont="1" applyBorder="1" applyAlignment="1">
      <alignment horizontal="center" vertical="center" wrapText="1"/>
    </xf>
    <xf numFmtId="168" fontId="11" fillId="0" borderId="7" xfId="0" applyNumberFormat="1" applyFont="1" applyBorder="1" applyAlignment="1">
      <alignment horizontal="center" vertical="center" wrapText="1"/>
    </xf>
    <xf numFmtId="168" fontId="14" fillId="0" borderId="10" xfId="1" applyNumberFormat="1" applyFont="1" applyBorder="1" applyAlignment="1">
      <alignment horizontal="center" vertical="center"/>
    </xf>
    <xf numFmtId="168" fontId="14" fillId="0" borderId="7" xfId="1" applyNumberFormat="1" applyFont="1" applyBorder="1" applyAlignment="1">
      <alignment vertical="center"/>
    </xf>
    <xf numFmtId="168" fontId="12" fillId="0" borderId="18" xfId="1" applyNumberFormat="1" applyFont="1" applyBorder="1" applyAlignment="1">
      <alignment vertical="center"/>
    </xf>
    <xf numFmtId="168" fontId="10" fillId="0" borderId="0" xfId="0" applyNumberFormat="1" applyFont="1" applyAlignment="1">
      <alignment vertical="center"/>
    </xf>
    <xf numFmtId="0" fontId="21" fillId="0" borderId="7" xfId="0" applyFont="1" applyBorder="1" applyAlignment="1">
      <alignment horizontal="left" vertical="center" wrapText="1"/>
    </xf>
    <xf numFmtId="168" fontId="14" fillId="0" borderId="10" xfId="1" applyNumberFormat="1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/>
    </xf>
    <xf numFmtId="0" fontId="28" fillId="0" borderId="7" xfId="0" applyFont="1" applyBorder="1" applyAlignment="1">
      <alignment horizontal="center" vertical="center" wrapText="1"/>
    </xf>
    <xf numFmtId="168" fontId="27" fillId="0" borderId="7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vertical="center"/>
    </xf>
    <xf numFmtId="0" fontId="27" fillId="0" borderId="0" xfId="0" applyFont="1" applyAlignment="1">
      <alignment horizontal="center" vertical="center"/>
    </xf>
    <xf numFmtId="164" fontId="29" fillId="0" borderId="0" xfId="2" applyFont="1" applyBorder="1" applyAlignment="1">
      <alignment vertical="center"/>
    </xf>
    <xf numFmtId="0" fontId="30" fillId="0" borderId="7" xfId="0" applyFont="1" applyBorder="1" applyAlignment="1">
      <alignment horizontal="center" vertical="center"/>
    </xf>
    <xf numFmtId="0" fontId="31" fillId="0" borderId="7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left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168" fontId="31" fillId="0" borderId="10" xfId="1" applyNumberFormat="1" applyFont="1" applyBorder="1" applyAlignment="1">
      <alignment horizontal="center" vertical="center" wrapText="1"/>
    </xf>
    <xf numFmtId="168" fontId="31" fillId="0" borderId="7" xfId="1" applyNumberFormat="1" applyFont="1" applyBorder="1" applyAlignment="1">
      <alignment vertical="center"/>
    </xf>
    <xf numFmtId="165" fontId="29" fillId="0" borderId="0" xfId="0" applyNumberFormat="1" applyFont="1" applyAlignment="1">
      <alignment vertical="center"/>
    </xf>
    <xf numFmtId="165" fontId="31" fillId="0" borderId="0" xfId="1" applyFont="1" applyBorder="1" applyAlignment="1">
      <alignment horizontal="center" vertical="center"/>
    </xf>
    <xf numFmtId="168" fontId="28" fillId="0" borderId="18" xfId="1" applyNumberFormat="1" applyFont="1" applyBorder="1" applyAlignment="1">
      <alignment vertical="center"/>
    </xf>
    <xf numFmtId="0" fontId="29" fillId="0" borderId="0" xfId="0" applyFont="1" applyAlignment="1">
      <alignment horizontal="center" vertical="center"/>
    </xf>
    <xf numFmtId="0" fontId="31" fillId="0" borderId="9" xfId="0" applyFont="1" applyBorder="1" applyAlignment="1">
      <alignment horizontal="center" vertical="center" wrapText="1"/>
    </xf>
    <xf numFmtId="168" fontId="29" fillId="0" borderId="0" xfId="0" applyNumberFormat="1" applyFont="1" applyAlignment="1">
      <alignment vertical="center"/>
    </xf>
    <xf numFmtId="0" fontId="4" fillId="0" borderId="7" xfId="0" applyFont="1" applyBorder="1" applyAlignment="1">
      <alignment horizontal="center" vertical="center" wrapText="1"/>
    </xf>
    <xf numFmtId="168" fontId="1" fillId="0" borderId="7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" fillId="0" borderId="24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168" fontId="2" fillId="0" borderId="10" xfId="1" applyNumberFormat="1" applyFont="1" applyBorder="1" applyAlignment="1">
      <alignment horizontal="center" vertical="center"/>
    </xf>
    <xf numFmtId="168" fontId="2" fillId="0" borderId="7" xfId="1" applyNumberFormat="1" applyFont="1" applyBorder="1" applyAlignment="1">
      <alignment vertical="center"/>
    </xf>
    <xf numFmtId="165" fontId="5" fillId="0" borderId="0" xfId="0" applyNumberFormat="1" applyFont="1" applyAlignment="1">
      <alignment vertical="center"/>
    </xf>
    <xf numFmtId="165" fontId="2" fillId="0" borderId="7" xfId="1" applyFont="1" applyBorder="1" applyAlignment="1">
      <alignment horizontal="center" vertical="center"/>
    </xf>
    <xf numFmtId="168" fontId="4" fillId="0" borderId="18" xfId="1" applyNumberFormat="1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168" fontId="5" fillId="0" borderId="0" xfId="0" applyNumberFormat="1" applyFont="1" applyAlignment="1">
      <alignment vertical="center"/>
    </xf>
    <xf numFmtId="168" fontId="2" fillId="0" borderId="10" xfId="1" applyNumberFormat="1" applyFont="1" applyBorder="1" applyAlignment="1">
      <alignment horizontal="center" vertical="center" wrapText="1"/>
    </xf>
    <xf numFmtId="1" fontId="3" fillId="0" borderId="7" xfId="0" applyNumberFormat="1" applyFont="1" applyBorder="1" applyAlignment="1">
      <alignment horizontal="center" vertical="center"/>
    </xf>
    <xf numFmtId="164" fontId="5" fillId="0" borderId="0" xfId="2" applyFont="1" applyAlignment="1">
      <alignment vertical="center"/>
    </xf>
    <xf numFmtId="164" fontId="10" fillId="0" borderId="0" xfId="2" applyFont="1" applyAlignment="1">
      <alignment vertical="center"/>
    </xf>
    <xf numFmtId="1" fontId="13" fillId="0" borderId="7" xfId="0" applyNumberFormat="1" applyFont="1" applyBorder="1" applyAlignment="1">
      <alignment horizontal="center" vertical="center"/>
    </xf>
    <xf numFmtId="0" fontId="33" fillId="0" borderId="7" xfId="0" applyFont="1" applyBorder="1" applyAlignment="1">
      <alignment horizontal="center" vertical="center"/>
    </xf>
    <xf numFmtId="0" fontId="33" fillId="2" borderId="7" xfId="0" applyFont="1" applyFill="1" applyBorder="1" applyAlignment="1">
      <alignment horizontal="center" vertical="center"/>
    </xf>
    <xf numFmtId="0" fontId="33" fillId="0" borderId="7" xfId="0" applyFont="1" applyBorder="1" applyAlignment="1">
      <alignment vertical="center" wrapText="1"/>
    </xf>
    <xf numFmtId="0" fontId="33" fillId="2" borderId="7" xfId="0" applyFont="1" applyFill="1" applyBorder="1" applyAlignment="1">
      <alignment vertical="center" wrapText="1"/>
    </xf>
    <xf numFmtId="0" fontId="13" fillId="0" borderId="18" xfId="0" applyFont="1" applyBorder="1" applyAlignment="1">
      <alignment horizontal="center" vertical="center"/>
    </xf>
    <xf numFmtId="0" fontId="34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169" fontId="10" fillId="0" borderId="0" xfId="0" applyNumberFormat="1" applyFont="1" applyAlignment="1">
      <alignment vertical="center"/>
    </xf>
    <xf numFmtId="0" fontId="5" fillId="0" borderId="0" xfId="0" applyFont="1"/>
    <xf numFmtId="0" fontId="35" fillId="0" borderId="7" xfId="0" applyFont="1" applyBorder="1" applyAlignment="1">
      <alignment horizontal="center" vertical="top" wrapText="1"/>
    </xf>
    <xf numFmtId="0" fontId="35" fillId="0" borderId="7" xfId="0" applyFont="1" applyBorder="1" applyAlignment="1">
      <alignment vertical="top" wrapText="1"/>
    </xf>
    <xf numFmtId="165" fontId="35" fillId="0" borderId="7" xfId="1" applyFont="1" applyBorder="1" applyAlignment="1">
      <alignment horizontal="center" vertical="top" wrapText="1"/>
    </xf>
    <xf numFmtId="9" fontId="35" fillId="0" borderId="7" xfId="0" applyNumberFormat="1" applyFont="1" applyBorder="1" applyAlignment="1">
      <alignment horizontal="center" vertical="top" wrapText="1"/>
    </xf>
    <xf numFmtId="0" fontId="36" fillId="0" borderId="0" xfId="0" applyFont="1" applyAlignment="1">
      <alignment vertical="top"/>
    </xf>
    <xf numFmtId="0" fontId="35" fillId="3" borderId="7" xfId="0" applyFont="1" applyFill="1" applyBorder="1" applyAlignment="1">
      <alignment horizontal="center" vertical="center" wrapText="1"/>
    </xf>
    <xf numFmtId="0" fontId="35" fillId="2" borderId="7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165" fontId="2" fillId="0" borderId="10" xfId="1" applyFont="1" applyBorder="1" applyAlignment="1">
      <alignment horizontal="center" vertical="center"/>
    </xf>
    <xf numFmtId="167" fontId="4" fillId="0" borderId="18" xfId="1" applyNumberFormat="1" applyFont="1" applyBorder="1" applyAlignment="1">
      <alignment vertical="center"/>
    </xf>
    <xf numFmtId="0" fontId="33" fillId="0" borderId="13" xfId="0" applyFont="1" applyBorder="1" applyAlignment="1">
      <alignment vertical="center"/>
    </xf>
    <xf numFmtId="0" fontId="37" fillId="0" borderId="7" xfId="0" applyFont="1" applyBorder="1" applyAlignment="1">
      <alignment horizontal="center" vertical="center"/>
    </xf>
    <xf numFmtId="169" fontId="2" fillId="0" borderId="7" xfId="1" applyNumberFormat="1" applyFont="1" applyBorder="1" applyAlignment="1">
      <alignment vertical="center"/>
    </xf>
    <xf numFmtId="169" fontId="4" fillId="0" borderId="18" xfId="1" applyNumberFormat="1" applyFont="1" applyBorder="1" applyAlignment="1">
      <alignment vertical="center"/>
    </xf>
    <xf numFmtId="169" fontId="2" fillId="0" borderId="10" xfId="1" applyNumberFormat="1" applyFont="1" applyBorder="1" applyAlignment="1">
      <alignment horizontal="center" vertical="center"/>
    </xf>
    <xf numFmtId="165" fontId="1" fillId="0" borderId="7" xfId="1" applyFont="1" applyBorder="1" applyAlignment="1">
      <alignment horizontal="center" vertical="center" wrapText="1"/>
    </xf>
    <xf numFmtId="165" fontId="4" fillId="0" borderId="18" xfId="1" applyFont="1" applyBorder="1" applyAlignment="1">
      <alignment vertical="center"/>
    </xf>
    <xf numFmtId="165" fontId="5" fillId="0" borderId="0" xfId="1" applyFont="1" applyAlignment="1">
      <alignment vertical="center"/>
    </xf>
    <xf numFmtId="0" fontId="37" fillId="0" borderId="7" xfId="0" applyFont="1" applyBorder="1" applyAlignment="1">
      <alignment horizontal="center" vertical="center" wrapText="1"/>
    </xf>
    <xf numFmtId="165" fontId="2" fillId="2" borderId="10" xfId="1" applyFont="1" applyFill="1" applyBorder="1" applyAlignment="1">
      <alignment horizontal="center" vertical="center"/>
    </xf>
    <xf numFmtId="165" fontId="2" fillId="2" borderId="7" xfId="1" applyFont="1" applyFill="1" applyBorder="1" applyAlignment="1">
      <alignment horizontal="center" vertical="center" wrapText="1"/>
    </xf>
    <xf numFmtId="43" fontId="5" fillId="0" borderId="0" xfId="0" applyNumberFormat="1" applyFont="1" applyAlignment="1">
      <alignment vertical="center"/>
    </xf>
    <xf numFmtId="0" fontId="3" fillId="0" borderId="18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center" vertical="center" wrapText="1"/>
    </xf>
    <xf numFmtId="165" fontId="2" fillId="0" borderId="0" xfId="1" applyFont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 wrapText="1"/>
    </xf>
    <xf numFmtId="0" fontId="2" fillId="0" borderId="7" xfId="1" applyNumberFormat="1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43" fontId="5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165" fontId="2" fillId="0" borderId="10" xfId="1" applyFont="1" applyFill="1" applyBorder="1" applyAlignment="1">
      <alignment horizontal="center" vertical="center"/>
    </xf>
    <xf numFmtId="165" fontId="2" fillId="0" borderId="7" xfId="1" applyFont="1" applyFill="1" applyBorder="1" applyAlignment="1">
      <alignment vertical="center"/>
    </xf>
    <xf numFmtId="165" fontId="5" fillId="0" borderId="0" xfId="0" applyNumberFormat="1" applyFont="1" applyFill="1" applyAlignment="1">
      <alignment vertical="center"/>
    </xf>
    <xf numFmtId="165" fontId="2" fillId="0" borderId="7" xfId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70" fontId="2" fillId="0" borderId="10" xfId="1" applyNumberFormat="1" applyFont="1" applyBorder="1" applyAlignment="1">
      <alignment horizontal="center" vertical="center"/>
    </xf>
    <xf numFmtId="170" fontId="2" fillId="0" borderId="7" xfId="1" applyNumberFormat="1" applyFont="1" applyBorder="1" applyAlignment="1">
      <alignment vertical="center"/>
    </xf>
    <xf numFmtId="170" fontId="2" fillId="0" borderId="18" xfId="1" applyNumberFormat="1" applyFont="1" applyBorder="1" applyAlignment="1">
      <alignment vertical="center"/>
    </xf>
    <xf numFmtId="169" fontId="5" fillId="0" borderId="0" xfId="0" applyNumberFormat="1" applyFont="1" applyAlignment="1">
      <alignment vertical="center"/>
    </xf>
    <xf numFmtId="170" fontId="5" fillId="0" borderId="0" xfId="0" applyNumberFormat="1" applyFont="1" applyAlignment="1">
      <alignment vertical="center"/>
    </xf>
    <xf numFmtId="165" fontId="5" fillId="4" borderId="0" xfId="0" applyNumberFormat="1" applyFont="1" applyFill="1" applyAlignment="1">
      <alignment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center" vertical="center"/>
    </xf>
    <xf numFmtId="165" fontId="2" fillId="2" borderId="7" xfId="1" applyFont="1" applyFill="1" applyBorder="1" applyAlignment="1">
      <alignment vertical="center"/>
    </xf>
    <xf numFmtId="165" fontId="5" fillId="2" borderId="0" xfId="0" applyNumberFormat="1" applyFont="1" applyFill="1" applyAlignment="1">
      <alignment vertical="center"/>
    </xf>
    <xf numFmtId="165" fontId="2" fillId="2" borderId="7" xfId="1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43" fontId="5" fillId="2" borderId="0" xfId="0" applyNumberFormat="1" applyFont="1" applyFill="1" applyAlignment="1">
      <alignment vertical="center"/>
    </xf>
    <xf numFmtId="0" fontId="3" fillId="5" borderId="7" xfId="0" applyFont="1" applyFill="1" applyBorder="1" applyAlignment="1">
      <alignment horizontal="left" vertical="center" wrapText="1"/>
    </xf>
    <xf numFmtId="0" fontId="3" fillId="0" borderId="18" xfId="0" applyFont="1" applyBorder="1" applyAlignment="1">
      <alignment horizontal="center" vertical="center"/>
    </xf>
    <xf numFmtId="170" fontId="2" fillId="0" borderId="23" xfId="1" applyNumberFormat="1" applyFont="1" applyBorder="1" applyAlignment="1">
      <alignment horizontal="center" vertical="center"/>
    </xf>
    <xf numFmtId="170" fontId="2" fillId="0" borderId="7" xfId="1" applyNumberFormat="1" applyFont="1" applyBorder="1" applyAlignment="1">
      <alignment horizontal="center" vertical="center"/>
    </xf>
    <xf numFmtId="171" fontId="5" fillId="0" borderId="0" xfId="0" applyNumberFormat="1" applyFont="1" applyAlignment="1">
      <alignment vertical="center"/>
    </xf>
    <xf numFmtId="0" fontId="2" fillId="0" borderId="7" xfId="0" applyFont="1" applyBorder="1" applyAlignment="1">
      <alignment horizontal="center" vertical="center"/>
    </xf>
    <xf numFmtId="170" fontId="3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5" fillId="0" borderId="4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41" fillId="0" borderId="9" xfId="0" applyFont="1" applyBorder="1" applyAlignment="1">
      <alignment vertical="center"/>
    </xf>
    <xf numFmtId="172" fontId="5" fillId="0" borderId="0" xfId="0" applyNumberFormat="1" applyFont="1" applyAlignment="1">
      <alignment vertical="center"/>
    </xf>
    <xf numFmtId="49" fontId="0" fillId="0" borderId="0" xfId="0" applyNumberFormat="1" applyAlignment="1" applyProtection="1">
      <alignment horizontal="center" vertical="center" wrapText="1"/>
    </xf>
    <xf numFmtId="49" fontId="0" fillId="0" borderId="7" xfId="0" applyNumberFormat="1" applyBorder="1" applyAlignment="1" applyProtection="1">
      <alignment horizontal="center" vertical="center" wrapText="1"/>
    </xf>
    <xf numFmtId="9" fontId="5" fillId="0" borderId="0" xfId="4" applyFont="1" applyAlignment="1">
      <alignment vertical="center"/>
    </xf>
    <xf numFmtId="0" fontId="3" fillId="6" borderId="7" xfId="0" applyFont="1" applyFill="1" applyBorder="1" applyAlignment="1">
      <alignment horizontal="center" vertical="center" wrapText="1"/>
    </xf>
    <xf numFmtId="49" fontId="0" fillId="6" borderId="7" xfId="0" applyNumberFormat="1" applyFill="1" applyBorder="1" applyAlignment="1" applyProtection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vertical="center" wrapText="1"/>
    </xf>
    <xf numFmtId="0" fontId="2" fillId="6" borderId="7" xfId="0" applyFont="1" applyFill="1" applyBorder="1" applyAlignment="1">
      <alignment horizontal="center" vertical="center"/>
    </xf>
    <xf numFmtId="170" fontId="3" fillId="6" borderId="7" xfId="0" applyNumberFormat="1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49" fontId="0" fillId="7" borderId="7" xfId="0" applyNumberFormat="1" applyFill="1" applyBorder="1" applyAlignment="1" applyProtection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vertical="center" wrapText="1"/>
    </xf>
    <xf numFmtId="0" fontId="2" fillId="7" borderId="7" xfId="0" applyFont="1" applyFill="1" applyBorder="1" applyAlignment="1">
      <alignment horizontal="center" vertical="center"/>
    </xf>
    <xf numFmtId="170" fontId="3" fillId="7" borderId="7" xfId="0" applyNumberFormat="1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49" fontId="0" fillId="8" borderId="7" xfId="0" applyNumberFormat="1" applyFill="1" applyBorder="1" applyAlignment="1" applyProtection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vertical="center" wrapText="1"/>
    </xf>
    <xf numFmtId="0" fontId="2" fillId="8" borderId="7" xfId="0" applyFont="1" applyFill="1" applyBorder="1" applyAlignment="1">
      <alignment horizontal="center" vertical="center"/>
    </xf>
    <xf numFmtId="170" fontId="3" fillId="8" borderId="7" xfId="0" applyNumberFormat="1" applyFont="1" applyFill="1" applyBorder="1" applyAlignment="1">
      <alignment horizontal="center" vertical="center" wrapText="1"/>
    </xf>
    <xf numFmtId="0" fontId="5" fillId="9" borderId="0" xfId="0" applyFont="1" applyFill="1" applyAlignment="1">
      <alignment vertical="center"/>
    </xf>
    <xf numFmtId="0" fontId="5" fillId="5" borderId="0" xfId="0" applyFont="1" applyFill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170" fontId="5" fillId="0" borderId="0" xfId="0" applyNumberFormat="1" applyFont="1" applyAlignment="1">
      <alignment vertical="center" wrapText="1"/>
    </xf>
    <xf numFmtId="0" fontId="3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170" fontId="3" fillId="0" borderId="7" xfId="0" applyNumberFormat="1" applyFont="1" applyBorder="1" applyAlignment="1">
      <alignment horizontal="center" vertical="center"/>
    </xf>
    <xf numFmtId="173" fontId="3" fillId="0" borderId="7" xfId="0" applyNumberFormat="1" applyFont="1" applyBorder="1" applyAlignment="1">
      <alignment horizontal="center" vertical="center"/>
    </xf>
    <xf numFmtId="173" fontId="2" fillId="0" borderId="7" xfId="1" applyNumberFormat="1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70" fontId="5" fillId="0" borderId="0" xfId="4" applyNumberFormat="1" applyFont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1" fillId="0" borderId="7" xfId="5" applyFont="1" applyBorder="1" applyAlignment="1">
      <alignment horizontal="center" vertical="center" wrapText="1"/>
    </xf>
    <xf numFmtId="0" fontId="4" fillId="0" borderId="7" xfId="5" applyFont="1" applyBorder="1" applyAlignment="1">
      <alignment horizontal="center" vertical="center" wrapText="1"/>
    </xf>
    <xf numFmtId="0" fontId="4" fillId="0" borderId="7" xfId="5" applyFont="1" applyBorder="1" applyAlignment="1">
      <alignment horizontal="center" vertical="center"/>
    </xf>
    <xf numFmtId="0" fontId="5" fillId="0" borderId="0" xfId="5" applyFont="1" applyAlignment="1">
      <alignment vertical="center"/>
    </xf>
    <xf numFmtId="0" fontId="3" fillId="0" borderId="7" xfId="5" applyFont="1" applyBorder="1" applyAlignment="1">
      <alignment horizontal="center" vertical="center"/>
    </xf>
    <xf numFmtId="0" fontId="2" fillId="0" borderId="7" xfId="5" applyFont="1" applyBorder="1" applyAlignment="1">
      <alignment horizontal="left" vertical="center"/>
    </xf>
    <xf numFmtId="0" fontId="2" fillId="0" borderId="7" xfId="5" applyFont="1" applyBorder="1" applyAlignment="1">
      <alignment horizontal="left" vertical="center" wrapText="1"/>
    </xf>
    <xf numFmtId="0" fontId="2" fillId="0" borderId="7" xfId="5" applyFont="1" applyBorder="1" applyAlignment="1">
      <alignment horizontal="center" vertical="center"/>
    </xf>
    <xf numFmtId="173" fontId="3" fillId="0" borderId="7" xfId="5" applyNumberFormat="1" applyFont="1" applyBorder="1" applyAlignment="1">
      <alignment horizontal="center" vertical="center"/>
    </xf>
    <xf numFmtId="169" fontId="5" fillId="0" borderId="0" xfId="5" applyNumberFormat="1" applyFont="1" applyAlignment="1">
      <alignment vertical="center"/>
    </xf>
    <xf numFmtId="0" fontId="3" fillId="0" borderId="7" xfId="5" applyFont="1" applyBorder="1" applyAlignment="1">
      <alignment horizontal="center" vertical="center" wrapText="1"/>
    </xf>
    <xf numFmtId="170" fontId="5" fillId="0" borderId="0" xfId="5" applyNumberFormat="1" applyFont="1" applyAlignment="1">
      <alignment vertical="center"/>
    </xf>
    <xf numFmtId="0" fontId="2" fillId="0" borderId="9" xfId="5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7" xfId="5" applyFont="1" applyBorder="1" applyAlignment="1">
      <alignment horizontal="center" vertical="center"/>
    </xf>
    <xf numFmtId="0" fontId="3" fillId="0" borderId="7" xfId="5" applyFont="1" applyBorder="1" applyAlignment="1">
      <alignment horizontal="center" vertical="center"/>
    </xf>
    <xf numFmtId="0" fontId="3" fillId="0" borderId="7" xfId="5" applyFont="1" applyBorder="1" applyAlignment="1">
      <alignment horizontal="center" vertical="center"/>
    </xf>
    <xf numFmtId="0" fontId="3" fillId="0" borderId="7" xfId="5" applyFont="1" applyBorder="1" applyAlignment="1">
      <alignment horizontal="center" vertical="center"/>
    </xf>
    <xf numFmtId="0" fontId="3" fillId="0" borderId="7" xfId="5" applyFont="1" applyBorder="1" applyAlignment="1">
      <alignment horizontal="center" vertical="center"/>
    </xf>
    <xf numFmtId="0" fontId="3" fillId="0" borderId="7" xfId="5" applyFont="1" applyBorder="1" applyAlignment="1">
      <alignment horizontal="center" vertical="center"/>
    </xf>
    <xf numFmtId="0" fontId="3" fillId="0" borderId="7" xfId="5" applyFont="1" applyBorder="1" applyAlignment="1">
      <alignment horizontal="center" vertical="center"/>
    </xf>
    <xf numFmtId="0" fontId="3" fillId="0" borderId="7" xfId="5" applyFont="1" applyBorder="1" applyAlignment="1">
      <alignment horizontal="center" vertical="center"/>
    </xf>
    <xf numFmtId="0" fontId="2" fillId="0" borderId="7" xfId="5" applyFont="1" applyBorder="1" applyAlignment="1">
      <alignment horizontal="center" vertical="center" wrapText="1"/>
    </xf>
    <xf numFmtId="0" fontId="3" fillId="0" borderId="7" xfId="5" applyFont="1" applyBorder="1" applyAlignment="1">
      <alignment horizontal="center" vertical="center"/>
    </xf>
    <xf numFmtId="0" fontId="44" fillId="0" borderId="7" xfId="5" applyFont="1" applyBorder="1" applyAlignment="1">
      <alignment horizontal="left" vertical="center" wrapText="1"/>
    </xf>
    <xf numFmtId="0" fontId="44" fillId="0" borderId="7" xfId="5" applyFont="1" applyBorder="1" applyAlignment="1">
      <alignment horizontal="center" vertical="center"/>
    </xf>
    <xf numFmtId="0" fontId="3" fillId="0" borderId="7" xfId="5" applyFont="1" applyBorder="1" applyAlignment="1">
      <alignment horizontal="center" vertical="center"/>
    </xf>
    <xf numFmtId="0" fontId="43" fillId="0" borderId="7" xfId="0" applyFont="1" applyBorder="1" applyAlignment="1">
      <alignment horizontal="center" vertical="center"/>
    </xf>
    <xf numFmtId="0" fontId="45" fillId="0" borderId="0" xfId="5" applyFont="1" applyAlignment="1">
      <alignment vertical="center"/>
    </xf>
    <xf numFmtId="169" fontId="5" fillId="0" borderId="0" xfId="5" applyNumberFormat="1" applyFont="1" applyAlignment="1">
      <alignment vertical="center" wrapText="1"/>
    </xf>
    <xf numFmtId="170" fontId="5" fillId="0" borderId="0" xfId="5" applyNumberFormat="1" applyFont="1" applyAlignment="1">
      <alignment vertical="center" wrapText="1"/>
    </xf>
    <xf numFmtId="170" fontId="5" fillId="2" borderId="7" xfId="5" applyNumberFormat="1" applyFont="1" applyFill="1" applyBorder="1" applyAlignment="1">
      <alignment vertical="center"/>
    </xf>
    <xf numFmtId="173" fontId="3" fillId="0" borderId="0" xfId="5" applyNumberFormat="1" applyFont="1" applyBorder="1" applyAlignment="1">
      <alignment horizontal="center" vertical="center"/>
    </xf>
    <xf numFmtId="170" fontId="44" fillId="0" borderId="7" xfId="5" applyNumberFormat="1" applyFont="1" applyBorder="1" applyAlignment="1">
      <alignment horizontal="center" vertical="center"/>
    </xf>
    <xf numFmtId="169" fontId="5" fillId="8" borderId="0" xfId="5" applyNumberFormat="1" applyFont="1" applyFill="1" applyAlignment="1">
      <alignment vertical="center"/>
    </xf>
    <xf numFmtId="169" fontId="3" fillId="0" borderId="7" xfId="5" applyNumberFormat="1" applyFont="1" applyBorder="1" applyAlignment="1">
      <alignment horizontal="center" vertical="center"/>
    </xf>
    <xf numFmtId="173" fontId="2" fillId="0" borderId="0" xfId="1" applyNumberFormat="1" applyFont="1" applyBorder="1" applyAlignment="1">
      <alignment vertical="center"/>
    </xf>
    <xf numFmtId="0" fontId="42" fillId="0" borderId="0" xfId="5" applyFont="1" applyBorder="1" applyAlignment="1">
      <alignment horizontal="center" vertical="center"/>
    </xf>
    <xf numFmtId="0" fontId="2" fillId="0" borderId="0" xfId="5" applyFont="1" applyBorder="1" applyAlignment="1">
      <alignment horizontal="left" vertical="center" wrapText="1"/>
    </xf>
    <xf numFmtId="0" fontId="5" fillId="0" borderId="0" xfId="5" applyFont="1" applyAlignment="1">
      <alignment vertical="center" wrapText="1"/>
    </xf>
    <xf numFmtId="0" fontId="3" fillId="0" borderId="7" xfId="5" applyFont="1" applyBorder="1" applyAlignment="1">
      <alignment horizontal="center" vertical="center"/>
    </xf>
    <xf numFmtId="0" fontId="3" fillId="0" borderId="16" xfId="5" applyFont="1" applyBorder="1" applyAlignment="1">
      <alignment horizontal="center" vertical="center"/>
    </xf>
    <xf numFmtId="0" fontId="2" fillId="0" borderId="16" xfId="5" applyFont="1" applyBorder="1" applyAlignment="1">
      <alignment horizontal="left" vertical="center"/>
    </xf>
    <xf numFmtId="0" fontId="2" fillId="0" borderId="16" xfId="5" applyFont="1" applyBorder="1" applyAlignment="1">
      <alignment horizontal="center" vertical="center"/>
    </xf>
    <xf numFmtId="0" fontId="2" fillId="0" borderId="16" xfId="5" applyFont="1" applyBorder="1" applyAlignment="1">
      <alignment horizontal="left" vertical="center" wrapText="1"/>
    </xf>
    <xf numFmtId="0" fontId="3" fillId="0" borderId="7" xfId="5" applyFont="1" applyBorder="1" applyAlignment="1">
      <alignment horizontal="center" vertical="center"/>
    </xf>
    <xf numFmtId="175" fontId="49" fillId="10" borderId="7" xfId="7" applyNumberFormat="1" applyFont="1" applyFill="1" applyBorder="1" applyAlignment="1">
      <alignment horizontal="center" vertical="center" wrapText="1"/>
    </xf>
    <xf numFmtId="174" fontId="46" fillId="10" borderId="7" xfId="10" applyNumberFormat="1" applyFont="1" applyFill="1" applyBorder="1" applyAlignment="1" applyProtection="1">
      <alignment horizontal="center" vertical="center"/>
    </xf>
    <xf numFmtId="0" fontId="48" fillId="10" borderId="8" xfId="10" applyFont="1" applyFill="1" applyBorder="1" applyAlignment="1" applyProtection="1">
      <alignment horizontal="center" vertical="center" wrapText="1"/>
    </xf>
    <xf numFmtId="0" fontId="48" fillId="10" borderId="8" xfId="10" applyFont="1" applyFill="1" applyBorder="1" applyAlignment="1" applyProtection="1">
      <alignment horizontal="center" vertical="top" wrapText="1"/>
    </xf>
    <xf numFmtId="174" fontId="47" fillId="10" borderId="8" xfId="10" applyNumberFormat="1" applyFont="1" applyFill="1" applyBorder="1" applyAlignment="1" applyProtection="1">
      <alignment horizontal="center" vertical="center" wrapText="1"/>
    </xf>
    <xf numFmtId="0" fontId="3" fillId="0" borderId="7" xfId="5" applyFont="1" applyBorder="1" applyAlignment="1">
      <alignment horizontal="center" vertical="center"/>
    </xf>
    <xf numFmtId="173" fontId="5" fillId="0" borderId="7" xfId="5" applyNumberFormat="1" applyFont="1" applyBorder="1" applyAlignment="1">
      <alignment vertical="center"/>
    </xf>
    <xf numFmtId="173" fontId="5" fillId="0" borderId="0" xfId="5" applyNumberFormat="1" applyFont="1" applyAlignment="1">
      <alignment vertical="center"/>
    </xf>
    <xf numFmtId="0" fontId="3" fillId="0" borderId="7" xfId="5" applyFont="1" applyBorder="1" applyAlignment="1">
      <alignment horizontal="center" vertical="center"/>
    </xf>
    <xf numFmtId="0" fontId="1" fillId="0" borderId="7" xfId="12" applyFont="1" applyBorder="1" applyAlignment="1">
      <alignment horizontal="center" vertical="center" wrapText="1"/>
    </xf>
    <xf numFmtId="0" fontId="4" fillId="0" borderId="7" xfId="12" applyFont="1" applyBorder="1" applyAlignment="1">
      <alignment horizontal="center" vertical="center" wrapText="1"/>
    </xf>
    <xf numFmtId="0" fontId="4" fillId="0" borderId="7" xfId="12" applyFont="1" applyBorder="1" applyAlignment="1">
      <alignment horizontal="center" vertical="center"/>
    </xf>
    <xf numFmtId="0" fontId="5" fillId="0" borderId="0" xfId="12" applyFont="1" applyAlignment="1">
      <alignment vertical="center"/>
    </xf>
    <xf numFmtId="0" fontId="3" fillId="0" borderId="7" xfId="12" applyFont="1" applyBorder="1" applyAlignment="1">
      <alignment horizontal="center" vertical="center"/>
    </xf>
    <xf numFmtId="0" fontId="2" fillId="0" borderId="7" xfId="12" applyFont="1" applyBorder="1" applyAlignment="1">
      <alignment horizontal="left" vertical="center"/>
    </xf>
    <xf numFmtId="0" fontId="2" fillId="0" borderId="7" xfId="12" applyFont="1" applyBorder="1" applyAlignment="1">
      <alignment horizontal="left" vertical="center" wrapText="1"/>
    </xf>
    <xf numFmtId="0" fontId="2" fillId="0" borderId="7" xfId="12" applyFont="1" applyBorder="1" applyAlignment="1">
      <alignment horizontal="center" vertical="center"/>
    </xf>
    <xf numFmtId="173" fontId="3" fillId="0" borderId="7" xfId="12" applyNumberFormat="1" applyFont="1" applyBorder="1" applyAlignment="1">
      <alignment horizontal="center" vertical="center"/>
    </xf>
    <xf numFmtId="169" fontId="5" fillId="0" borderId="0" xfId="12" applyNumberFormat="1" applyFont="1" applyAlignment="1">
      <alignment vertical="center"/>
    </xf>
    <xf numFmtId="0" fontId="3" fillId="0" borderId="7" xfId="12" applyFont="1" applyBorder="1" applyAlignment="1">
      <alignment horizontal="center" vertical="center" wrapText="1"/>
    </xf>
    <xf numFmtId="0" fontId="3" fillId="0" borderId="7" xfId="12" applyFont="1" applyBorder="1" applyAlignment="1">
      <alignment horizontal="center" vertical="center"/>
    </xf>
    <xf numFmtId="170" fontId="5" fillId="0" borderId="0" xfId="12" applyNumberFormat="1" applyFont="1" applyAlignment="1">
      <alignment vertical="center"/>
    </xf>
    <xf numFmtId="0" fontId="2" fillId="0" borderId="9" xfId="12" applyFont="1" applyBorder="1" applyAlignment="1">
      <alignment horizontal="center" vertical="center" wrapText="1"/>
    </xf>
    <xf numFmtId="0" fontId="8" fillId="0" borderId="0" xfId="12"/>
    <xf numFmtId="0" fontId="3" fillId="0" borderId="7" xfId="12" applyFont="1" applyBorder="1" applyAlignment="1">
      <alignment horizontal="center" vertical="center"/>
    </xf>
    <xf numFmtId="0" fontId="54" fillId="2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7" xfId="0" applyBorder="1" applyAlignment="1">
      <alignment horizontal="left" vertical="center" wrapText="1"/>
    </xf>
    <xf numFmtId="0" fontId="0" fillId="0" borderId="7" xfId="0" applyBorder="1"/>
    <xf numFmtId="0" fontId="0" fillId="0" borderId="7" xfId="0" applyBorder="1" applyAlignment="1">
      <alignment vertical="center"/>
    </xf>
    <xf numFmtId="0" fontId="55" fillId="0" borderId="7" xfId="0" applyFont="1" applyBorder="1" applyAlignment="1">
      <alignment vertical="center"/>
    </xf>
    <xf numFmtId="0" fontId="55" fillId="0" borderId="7" xfId="0" applyFont="1" applyBorder="1" applyAlignment="1">
      <alignment horizontal="center" vertical="center"/>
    </xf>
    <xf numFmtId="0" fontId="0" fillId="0" borderId="7" xfId="5" applyFont="1" applyBorder="1" applyAlignment="1">
      <alignment horizontal="left" vertical="center"/>
    </xf>
    <xf numFmtId="0" fontId="0" fillId="0" borderId="7" xfId="0" applyBorder="1" applyAlignment="1">
      <alignment horizontal="center"/>
    </xf>
    <xf numFmtId="0" fontId="56" fillId="0" borderId="7" xfId="0" applyFont="1" applyBorder="1" applyAlignment="1">
      <alignment horizontal="center" vertical="center"/>
    </xf>
    <xf numFmtId="0" fontId="57" fillId="0" borderId="7" xfId="0" applyFont="1" applyBorder="1" applyAlignment="1">
      <alignment horizontal="center" vertical="center"/>
    </xf>
    <xf numFmtId="4" fontId="57" fillId="0" borderId="7" xfId="0" applyNumberFormat="1" applyFont="1" applyBorder="1" applyAlignment="1">
      <alignment horizontal="center" vertical="center"/>
    </xf>
    <xf numFmtId="0" fontId="5" fillId="0" borderId="7" xfId="12" applyFont="1" applyBorder="1" applyAlignment="1">
      <alignment horizontal="center" vertical="center"/>
    </xf>
    <xf numFmtId="0" fontId="58" fillId="0" borderId="7" xfId="12" applyFont="1" applyBorder="1" applyAlignment="1">
      <alignment horizontal="center" vertical="center" wrapText="1"/>
    </xf>
    <xf numFmtId="0" fontId="36" fillId="0" borderId="0" xfId="12" applyFont="1" applyAlignment="1">
      <alignment vertical="center"/>
    </xf>
    <xf numFmtId="0" fontId="59" fillId="0" borderId="7" xfId="0" applyFont="1" applyBorder="1" applyAlignment="1">
      <alignment horizontal="center" vertical="center"/>
    </xf>
    <xf numFmtId="0" fontId="59" fillId="0" borderId="7" xfId="0" applyFont="1" applyBorder="1" applyAlignment="1">
      <alignment horizontal="center" vertical="center" wrapText="1"/>
    </xf>
    <xf numFmtId="0" fontId="36" fillId="0" borderId="7" xfId="12" applyFont="1" applyBorder="1" applyAlignment="1">
      <alignment horizontal="center" vertical="center"/>
    </xf>
    <xf numFmtId="0" fontId="36" fillId="0" borderId="7" xfId="12" applyFont="1" applyBorder="1" applyAlignment="1">
      <alignment vertical="center"/>
    </xf>
    <xf numFmtId="0" fontId="36" fillId="0" borderId="0" xfId="12" applyFont="1" applyAlignment="1">
      <alignment horizontal="center" vertical="center"/>
    </xf>
    <xf numFmtId="0" fontId="59" fillId="0" borderId="7" xfId="0" applyFont="1" applyBorder="1" applyAlignment="1">
      <alignment horizontal="left" vertical="center" wrapText="1"/>
    </xf>
    <xf numFmtId="0" fontId="36" fillId="0" borderId="7" xfId="12" applyFont="1" applyBorder="1" applyAlignment="1">
      <alignment horizontal="left" vertical="center" wrapText="1"/>
    </xf>
    <xf numFmtId="173" fontId="36" fillId="0" borderId="0" xfId="12" applyNumberFormat="1" applyFont="1" applyAlignment="1">
      <alignment vertical="center"/>
    </xf>
    <xf numFmtId="176" fontId="36" fillId="0" borderId="7" xfId="12" applyNumberFormat="1" applyFont="1" applyBorder="1" applyAlignment="1">
      <alignment vertical="center"/>
    </xf>
    <xf numFmtId="173" fontId="36" fillId="0" borderId="7" xfId="12" applyNumberFormat="1" applyFont="1" applyBorder="1" applyAlignment="1">
      <alignment vertical="center"/>
    </xf>
    <xf numFmtId="0" fontId="1" fillId="2" borderId="7" xfId="12" applyFont="1" applyFill="1" applyBorder="1" applyAlignment="1">
      <alignment horizontal="center" vertical="center" wrapText="1"/>
    </xf>
    <xf numFmtId="173" fontId="1" fillId="2" borderId="7" xfId="12" applyNumberFormat="1" applyFont="1" applyFill="1" applyBorder="1" applyAlignment="1">
      <alignment horizontal="center" vertical="center" wrapText="1"/>
    </xf>
    <xf numFmtId="0" fontId="60" fillId="2" borderId="7" xfId="12" applyFont="1" applyFill="1" applyBorder="1" applyAlignment="1">
      <alignment horizontal="center" vertical="center"/>
    </xf>
    <xf numFmtId="0" fontId="36" fillId="0" borderId="7" xfId="12" applyFont="1" applyBorder="1" applyAlignment="1">
      <alignment vertical="center" wrapText="1"/>
    </xf>
    <xf numFmtId="173" fontId="61" fillId="0" borderId="7" xfId="0" applyNumberFormat="1" applyFont="1" applyBorder="1"/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right" vertical="top" wrapText="1"/>
    </xf>
    <xf numFmtId="0" fontId="3" fillId="0" borderId="5" xfId="0" applyFont="1" applyBorder="1" applyAlignment="1">
      <alignment horizontal="right" vertical="top" wrapText="1"/>
    </xf>
    <xf numFmtId="0" fontId="1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66" fontId="2" fillId="0" borderId="0" xfId="0" applyNumberFormat="1" applyFont="1" applyAlignment="1">
      <alignment horizontal="left" vertical="center"/>
    </xf>
    <xf numFmtId="0" fontId="2" fillId="0" borderId="12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166" fontId="2" fillId="0" borderId="2" xfId="0" applyNumberFormat="1" applyFont="1" applyBorder="1" applyAlignment="1">
      <alignment horizontal="left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4" fillId="0" borderId="4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/>
    </xf>
    <xf numFmtId="0" fontId="10" fillId="0" borderId="14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left" vertical="center" wrapText="1"/>
    </xf>
    <xf numFmtId="0" fontId="21" fillId="0" borderId="4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left" vertical="center" wrapText="1"/>
    </xf>
    <xf numFmtId="0" fontId="20" fillId="0" borderId="14" xfId="0" applyFont="1" applyBorder="1" applyAlignment="1">
      <alignment horizontal="left" vertical="center" wrapText="1"/>
    </xf>
    <xf numFmtId="0" fontId="20" fillId="0" borderId="20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27" fillId="0" borderId="18" xfId="0" applyFont="1" applyBorder="1" applyAlignment="1">
      <alignment horizontal="center" vertical="center"/>
    </xf>
    <xf numFmtId="0" fontId="32" fillId="0" borderId="19" xfId="0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0" fontId="32" fillId="0" borderId="20" xfId="0" applyFont="1" applyBorder="1" applyAlignment="1">
      <alignment horizontal="center" vertical="center"/>
    </xf>
    <xf numFmtId="0" fontId="31" fillId="0" borderId="4" xfId="0" applyFont="1" applyBorder="1" applyAlignment="1">
      <alignment horizontal="left" vertical="center" wrapText="1"/>
    </xf>
    <xf numFmtId="0" fontId="31" fillId="0" borderId="1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165" fontId="2" fillId="0" borderId="16" xfId="1" applyFont="1" applyBorder="1" applyAlignment="1">
      <alignment horizontal="center" vertical="center"/>
    </xf>
    <xf numFmtId="165" fontId="2" fillId="0" borderId="17" xfId="1" applyFont="1" applyBorder="1" applyAlignment="1">
      <alignment horizontal="center" vertical="center"/>
    </xf>
    <xf numFmtId="165" fontId="2" fillId="0" borderId="18" xfId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41" fillId="0" borderId="9" xfId="0" applyFont="1" applyBorder="1" applyAlignment="1">
      <alignment horizontal="left" vertical="center"/>
    </xf>
    <xf numFmtId="0" fontId="41" fillId="0" borderId="4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42" fillId="0" borderId="19" xfId="0" applyFont="1" applyBorder="1" applyAlignment="1">
      <alignment horizontal="center" vertical="center"/>
    </xf>
    <xf numFmtId="0" fontId="42" fillId="0" borderId="14" xfId="0" applyFont="1" applyBorder="1" applyAlignment="1">
      <alignment horizontal="center" vertical="center"/>
    </xf>
    <xf numFmtId="0" fontId="42" fillId="0" borderId="2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5" applyFont="1" applyBorder="1" applyAlignment="1">
      <alignment horizontal="center" vertical="center"/>
    </xf>
    <xf numFmtId="0" fontId="42" fillId="0" borderId="19" xfId="5" applyFont="1" applyBorder="1" applyAlignment="1">
      <alignment horizontal="center" vertical="center"/>
    </xf>
    <xf numFmtId="0" fontId="42" fillId="0" borderId="14" xfId="5" applyFont="1" applyBorder="1" applyAlignment="1">
      <alignment horizontal="center" vertical="center"/>
    </xf>
    <xf numFmtId="0" fontId="42" fillId="0" borderId="20" xfId="5" applyFont="1" applyBorder="1" applyAlignment="1">
      <alignment horizontal="center" vertical="center"/>
    </xf>
    <xf numFmtId="0" fontId="2" fillId="0" borderId="4" xfId="5" applyFont="1" applyBorder="1" applyAlignment="1">
      <alignment horizontal="left" vertical="center" wrapText="1"/>
    </xf>
    <xf numFmtId="0" fontId="2" fillId="0" borderId="10" xfId="5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2" fillId="0" borderId="9" xfId="0" applyFont="1" applyBorder="1" applyAlignment="1">
      <alignment horizontal="center" vertical="center"/>
    </xf>
    <xf numFmtId="0" fontId="42" fillId="0" borderId="4" xfId="0" applyFont="1" applyBorder="1" applyAlignment="1">
      <alignment horizontal="center" vertical="center"/>
    </xf>
    <xf numFmtId="0" fontId="42" fillId="0" borderId="10" xfId="0" applyFont="1" applyBorder="1" applyAlignment="1">
      <alignment horizontal="center" vertical="center"/>
    </xf>
    <xf numFmtId="0" fontId="5" fillId="0" borderId="7" xfId="5" applyFont="1" applyBorder="1" applyAlignment="1">
      <alignment horizontal="center" vertical="center"/>
    </xf>
    <xf numFmtId="0" fontId="5" fillId="0" borderId="14" xfId="5" applyFont="1" applyBorder="1" applyAlignment="1">
      <alignment horizontal="center" vertical="center"/>
    </xf>
    <xf numFmtId="0" fontId="5" fillId="0" borderId="0" xfId="5" applyFont="1" applyAlignment="1">
      <alignment horizontal="center" vertical="center"/>
    </xf>
    <xf numFmtId="0" fontId="3" fillId="0" borderId="7" xfId="12" applyFont="1" applyBorder="1" applyAlignment="1">
      <alignment horizontal="center" vertical="center"/>
    </xf>
    <xf numFmtId="0" fontId="42" fillId="0" borderId="19" xfId="12" applyFont="1" applyBorder="1" applyAlignment="1">
      <alignment horizontal="center" vertical="center"/>
    </xf>
    <xf numFmtId="0" fontId="42" fillId="0" borderId="14" xfId="12" applyFont="1" applyBorder="1" applyAlignment="1">
      <alignment horizontal="center" vertical="center"/>
    </xf>
    <xf numFmtId="0" fontId="42" fillId="0" borderId="20" xfId="12" applyFont="1" applyBorder="1" applyAlignment="1">
      <alignment horizontal="center" vertical="center"/>
    </xf>
    <xf numFmtId="0" fontId="2" fillId="0" borderId="4" xfId="12" applyFont="1" applyBorder="1" applyAlignment="1">
      <alignment horizontal="left" vertical="center" wrapText="1"/>
    </xf>
    <xf numFmtId="0" fontId="2" fillId="0" borderId="10" xfId="12" applyFont="1" applyBorder="1" applyAlignment="1">
      <alignment horizontal="left" vertical="center" wrapText="1"/>
    </xf>
  </cellXfs>
  <cellStyles count="13">
    <cellStyle name="Comma" xfId="1" builtinId="3"/>
    <cellStyle name="Comma 2 2" xfId="6" xr:uid="{D01C64E0-3334-4C6C-A17A-B2D836072B0B}"/>
    <cellStyle name="Currency" xfId="2" builtinId="4"/>
    <cellStyle name="Normal" xfId="0" builtinId="0"/>
    <cellStyle name="Normal 2" xfId="3" xr:uid="{00000000-0005-0000-0000-000003000000}"/>
    <cellStyle name="Normal 2 2" xfId="5" xr:uid="{D6692D68-4954-428D-83BC-BF5CCB38165F}"/>
    <cellStyle name="Normal 2 2 2" xfId="11" xr:uid="{3C5B9325-E0F0-4FAC-AB62-93912D2D78B0}"/>
    <cellStyle name="Normal 2 2 2 2" xfId="12" xr:uid="{ED756131-2E95-447A-928B-D6F9FD39F708}"/>
    <cellStyle name="Normal 3" xfId="7" xr:uid="{949EDAA6-9CAD-436F-A282-C93B88CAAFB8}"/>
    <cellStyle name="Normal 4" xfId="8" xr:uid="{EBE4DE38-0A45-4BF3-BDEB-00FD9C8F3777}"/>
    <cellStyle name="Normal 7" xfId="9" xr:uid="{A873897E-5061-4C2A-B392-5E03F80C426A}"/>
    <cellStyle name="Percent" xfId="4" builtinId="5"/>
    <cellStyle name="常规 2 2" xfId="10" xr:uid="{9185125C-2737-4AB3-B705-65BD34136979}"/>
  </cellStyles>
  <dxfs count="9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theme" Target="theme/theme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14</xdr:row>
      <xdr:rowOff>0</xdr:rowOff>
    </xdr:from>
    <xdr:to>
      <xdr:col>17</xdr:col>
      <xdr:colOff>249801</xdr:colOff>
      <xdr:row>64</xdr:row>
      <xdr:rowOff>124972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4857750"/>
          <a:ext cx="15413601" cy="82212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1</xdr:col>
      <xdr:colOff>304800</xdr:colOff>
      <xdr:row>10</xdr:row>
      <xdr:rowOff>114300</xdr:rowOff>
    </xdr:to>
    <xdr:sp macro="" textlink="">
      <xdr:nvSpPr>
        <xdr:cNvPr id="172033" name="AutoShape 1" descr="blob:https://web.whatsapp.com/84eaa272-75b2-4729-b998-25b8a5f0c243">
          <a:extLst>
            <a:ext uri="{FF2B5EF4-FFF2-40B4-BE49-F238E27FC236}">
              <a16:creationId xmlns:a16="http://schemas.microsoft.com/office/drawing/2014/main" id="{95881DCF-A3FD-4A57-AC9A-E7833250ADE5}"/>
            </a:ext>
          </a:extLst>
        </xdr:cNvPr>
        <xdr:cNvSpPr>
          <a:spLocks noChangeAspect="1" noChangeArrowheads="1"/>
        </xdr:cNvSpPr>
      </xdr:nvSpPr>
      <xdr:spPr bwMode="auto">
        <a:xfrm>
          <a:off x="390525" y="3724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304800</xdr:colOff>
      <xdr:row>10</xdr:row>
      <xdr:rowOff>114300</xdr:rowOff>
    </xdr:to>
    <xdr:sp macro="" textlink="">
      <xdr:nvSpPr>
        <xdr:cNvPr id="172034" name="AutoShape 2" descr="blob:https://web.whatsapp.com/84eaa272-75b2-4729-b998-25b8a5f0c243">
          <a:extLst>
            <a:ext uri="{FF2B5EF4-FFF2-40B4-BE49-F238E27FC236}">
              <a16:creationId xmlns:a16="http://schemas.microsoft.com/office/drawing/2014/main" id="{20734D2E-6F3F-4E53-94EE-EC1ABD592F0A}"/>
            </a:ext>
          </a:extLst>
        </xdr:cNvPr>
        <xdr:cNvSpPr>
          <a:spLocks noChangeAspect="1" noChangeArrowheads="1"/>
        </xdr:cNvSpPr>
      </xdr:nvSpPr>
      <xdr:spPr bwMode="auto">
        <a:xfrm>
          <a:off x="390525" y="3724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11</xdr:col>
      <xdr:colOff>712956</xdr:colOff>
      <xdr:row>27</xdr:row>
      <xdr:rowOff>142489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A660B01-C300-4BF0-BAF4-16CA6F22D1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3724275"/>
          <a:ext cx="11352381" cy="308571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27</xdr:row>
      <xdr:rowOff>0</xdr:rowOff>
    </xdr:from>
    <xdr:to>
      <xdr:col>33</xdr:col>
      <xdr:colOff>421283</xdr:colOff>
      <xdr:row>71</xdr:row>
      <xdr:rowOff>77205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32AFC1D-820D-4EB1-93EF-1B6E1FE8A4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716250"/>
          <a:ext cx="15642233" cy="720190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ahul\Downloads\3100433577-RTNGIRI_ENERGY-Energy-Rev%20Suppl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end To Respond Instructions"/>
      <sheetName val="Submit Response Instructions"/>
      <sheetName val="DV_sheet_"/>
      <sheetName val="5 Introduction,Guidelines an..."/>
      <sheetName val="6 Technical Specifications a..."/>
      <sheetName val="7 Commercial Details"/>
    </sheetNames>
    <sheetDataSet>
      <sheetData sheetId="0" refreshError="1"/>
      <sheetData sheetId="1" refreshError="1"/>
      <sheetData sheetId="2">
        <row r="1">
          <cell r="C1" t="str">
            <v>CFR - Costs and freight</v>
          </cell>
          <cell r="D1" t="str">
            <v>P001 - Immediate Payment</v>
          </cell>
          <cell r="E1" t="str">
            <v>0.05%</v>
          </cell>
          <cell r="F1" t="str">
            <v>00 - GST Nil</v>
          </cell>
          <cell r="G1" t="str">
            <v>We don't carry a compatible part/material</v>
          </cell>
        </row>
        <row r="2">
          <cell r="C2" t="str">
            <v>CIF - Costs, insurance &amp; freight</v>
          </cell>
          <cell r="D2" t="str">
            <v>P002 - Payment in 3 days from Invoice date</v>
          </cell>
          <cell r="E2" t="str">
            <v>0.12%</v>
          </cell>
          <cell r="F2" t="str">
            <v>09 - I/P 5% GST ND</v>
          </cell>
          <cell r="G2" t="str">
            <v>We don't supply at the requested quantity</v>
          </cell>
        </row>
        <row r="3">
          <cell r="C3" t="str">
            <v>CIP - Carriage and insurance paid to</v>
          </cell>
          <cell r="D3" t="str">
            <v>P003 - Payment in 7 days from Invoice date</v>
          </cell>
          <cell r="E3" t="str">
            <v>0.18%</v>
          </cell>
          <cell r="F3" t="str">
            <v>10 - I/P 12% GST_ND</v>
          </cell>
          <cell r="G3" t="str">
            <v>Discontinued Item</v>
          </cell>
        </row>
        <row r="4">
          <cell r="C4" t="str">
            <v>COL - Collect</v>
          </cell>
          <cell r="D4" t="str">
            <v>P004 - Payment in 10 days from Invoice date</v>
          </cell>
          <cell r="E4" t="str">
            <v>0.28%</v>
          </cell>
          <cell r="F4" t="str">
            <v>11 - I/P 18% GST_ND</v>
          </cell>
          <cell r="G4" t="str">
            <v>We are currently at full capacity</v>
          </cell>
        </row>
        <row r="5">
          <cell r="C5" t="str">
            <v>CPT - Carriage paid to</v>
          </cell>
          <cell r="D5" t="str">
            <v>P005 - Payment in 15 days from Invoice date</v>
          </cell>
          <cell r="E5" t="str">
            <v>0%</v>
          </cell>
          <cell r="F5" t="str">
            <v>12 - I/P 28% GST_ND</v>
          </cell>
          <cell r="G5" t="str">
            <v>Missing information / not enough information provided</v>
          </cell>
        </row>
        <row r="6">
          <cell r="C6" t="str">
            <v>DAF - Delivered at frontier</v>
          </cell>
          <cell r="D6" t="str">
            <v>P006 - Payment in 21 days from Invoice date</v>
          </cell>
          <cell r="F6" t="str">
            <v>13 - I/P GST 5% (2.5%CGST + 2.5%SGST)_Ded</v>
          </cell>
          <cell r="G6" t="str">
            <v>Other</v>
          </cell>
        </row>
        <row r="7">
          <cell r="C7" t="str">
            <v>DAP - Delivery at Place</v>
          </cell>
          <cell r="D7" t="str">
            <v>P007 - Payment in 30 days from Invoice date</v>
          </cell>
          <cell r="F7" t="str">
            <v>14 - I/P GST 5% (2.5%CGST + 2.5%SGST)_RCM</v>
          </cell>
        </row>
        <row r="8">
          <cell r="C8" t="str">
            <v>DAT - Delivery at Terminal</v>
          </cell>
          <cell r="D8" t="str">
            <v>P008 - Payment in 35 days from Invoice date</v>
          </cell>
          <cell r="F8" t="str">
            <v>15 - I/P GST 5% (2.5%CGST +2.5%UGST)_Ded</v>
          </cell>
        </row>
        <row r="9">
          <cell r="C9" t="str">
            <v>DDP - Delivered Duty Paid</v>
          </cell>
          <cell r="D9" t="str">
            <v>P009 - Payment in 45 days from Invoice date</v>
          </cell>
          <cell r="F9" t="str">
            <v>16 - I/P GST 5% (2.5%CGST + 2.5%UGST)_RCM</v>
          </cell>
        </row>
        <row r="10">
          <cell r="C10" t="str">
            <v>DDU - Delivered Duty Unpaid</v>
          </cell>
          <cell r="D10" t="str">
            <v>P010 - Payment in 60 days from Invoice date</v>
          </cell>
          <cell r="F10" t="str">
            <v>17 - I/P GST 5% (IGST)_Ded</v>
          </cell>
        </row>
        <row r="11">
          <cell r="C11" t="str">
            <v>DEQ - Delivered ex quay (duty paid)</v>
          </cell>
          <cell r="D11" t="str">
            <v>P011 - Payment in 90 days from Invoice date</v>
          </cell>
          <cell r="F11" t="str">
            <v>18 - /P GST 5% (IGST)_RCM</v>
          </cell>
        </row>
        <row r="12">
          <cell r="C12" t="str">
            <v>DES - Delivered ex ship</v>
          </cell>
          <cell r="D12" t="str">
            <v>P012 - Payment in 180 days from Invoice date</v>
          </cell>
          <cell r="F12" t="str">
            <v>70 - I/P GST 5% (GST + SGST)_RCM_ND</v>
          </cell>
        </row>
        <row r="13">
          <cell r="C13" t="str">
            <v>EW1 - Ex-Works Freight PAID</v>
          </cell>
          <cell r="D13" t="str">
            <v>P013 - 100% Against delivery of material and acceptance</v>
          </cell>
          <cell r="F13" t="str">
            <v>71 - I/P GST 5% (IGST)_RCM_ND</v>
          </cell>
        </row>
        <row r="14">
          <cell r="C14" t="str">
            <v>EW2 - Ex-Works Freight TO PAY</v>
          </cell>
          <cell r="D14" t="str">
            <v>P014 - Payment in 7 days from GRN date</v>
          </cell>
          <cell r="F14" t="str">
            <v>19 - I/P GST 12% (6%CGST+ 6%SGST)_Ded</v>
          </cell>
        </row>
        <row r="15">
          <cell r="C15" t="str">
            <v>EW3 - Ex- Works TO PAY(JSW Truck)</v>
          </cell>
          <cell r="D15" t="str">
            <v>P015 - Payment in 15 days from GRN date</v>
          </cell>
          <cell r="F15" t="str">
            <v>20 - I/P GST 12% (6%CGST +6%SGST)_RCM</v>
          </cell>
        </row>
        <row r="16">
          <cell r="C16" t="str">
            <v>EW4 - FRT INCLUSIVE-STK TRANSFER</v>
          </cell>
          <cell r="D16" t="str">
            <v>P016 - Payment in 21 days from GRN date</v>
          </cell>
          <cell r="F16" t="str">
            <v>21 - I/P GST 12% (6%CGST + 6%UGST)_Ded</v>
          </cell>
        </row>
        <row r="17">
          <cell r="C17" t="str">
            <v>EX1 - C Form Ex Factory</v>
          </cell>
          <cell r="D17" t="str">
            <v>P017 - Payment in 30 days from GRN date</v>
          </cell>
          <cell r="F17" t="str">
            <v>22 - I/P GST 12% (6%CGST + 6%UGST)_RCM</v>
          </cell>
        </row>
        <row r="18">
          <cell r="C18" t="str">
            <v>EX2 - EX Works with CST- Spec. Price</v>
          </cell>
          <cell r="D18" t="str">
            <v>P018 - Payment in 45 days from GRN date</v>
          </cell>
          <cell r="F18" t="str">
            <v>23 - I/P GST 12% (IGST)_Ded</v>
          </cell>
        </row>
        <row r="19">
          <cell r="C19" t="str">
            <v>EXD - Ex Depot</v>
          </cell>
          <cell r="D19" t="str">
            <v>P019 - Payment in 60 days from GRN date</v>
          </cell>
          <cell r="F19" t="str">
            <v>24 - I/P GST 12% (IGST)_RCM</v>
          </cell>
        </row>
        <row r="20">
          <cell r="C20" t="str">
            <v>EXW - Ex - Works NA</v>
          </cell>
          <cell r="D20" t="str">
            <v>P020 - Payment in 90 days from GRN date</v>
          </cell>
          <cell r="F20" t="str">
            <v>72 - I/P GST 12% (GST + SGST)_RCM_ND</v>
          </cell>
        </row>
        <row r="21">
          <cell r="C21" t="str">
            <v>FAS - Free Alongside Ship</v>
          </cell>
          <cell r="D21" t="str">
            <v>P021 - Payment in 120 days from GRN date</v>
          </cell>
          <cell r="F21" t="str">
            <v>73 - I/P GST 12% (IGST)_RCM_ND</v>
          </cell>
        </row>
        <row r="22">
          <cell r="C22" t="str">
            <v>FBT - FOR Bellary transporter Godown</v>
          </cell>
          <cell r="D22" t="str">
            <v>P022 - Payment in 10th of every month on submis of bill</v>
          </cell>
          <cell r="F22" t="str">
            <v>25 - I/P GST 18% ( 9%CGST + 9%SGST)_Ded</v>
          </cell>
        </row>
        <row r="23">
          <cell r="C23" t="str">
            <v>FCA - Free Carrier</v>
          </cell>
          <cell r="D23" t="str">
            <v>P023 - 100% Against Completion of Work</v>
          </cell>
          <cell r="F23" t="str">
            <v>26 - I/P GST 18% (9%CGST +9% SGST)_RCM</v>
          </cell>
        </row>
        <row r="24">
          <cell r="C24" t="str">
            <v>FH - Free house</v>
          </cell>
          <cell r="D24" t="str">
            <v>P024 - Payable immediately against SRN(Against RA Bill)</v>
          </cell>
          <cell r="F24" t="str">
            <v>27 - I/P GST 18% (9%CGST + 9%UGST)_Ded</v>
          </cell>
        </row>
        <row r="25">
          <cell r="C25" t="str">
            <v>FHT - FOR Hospet transporter Godown</v>
          </cell>
          <cell r="D25" t="str">
            <v>P025 - Payable in 7 days from SRN Date(Against RA Bill)</v>
          </cell>
          <cell r="F25" t="str">
            <v>28 - I/P GST 18% (9%CGST + 9%UGST)_RCM</v>
          </cell>
        </row>
        <row r="26">
          <cell r="C26" t="str">
            <v>FIR - Prepaid (Included in Price)</v>
          </cell>
          <cell r="D26" t="str">
            <v>P026 -Payable in 10 days from SRN Date(Against RA Bill)</v>
          </cell>
          <cell r="F26" t="str">
            <v>29 - I/P GST 18% (IGST)_Ded</v>
          </cell>
        </row>
        <row r="27">
          <cell r="C27" t="str">
            <v>FKT - FOR Kurnool Transporter Godown</v>
          </cell>
          <cell r="D27" t="str">
            <v>P027 -Payable in 15 days from SRN Date(Against RA Bill)</v>
          </cell>
          <cell r="F27" t="str">
            <v>30 - I/P GST 18% (IGST)_RCM</v>
          </cell>
        </row>
        <row r="28">
          <cell r="C28" t="str">
            <v>FNG - FOR Nandyal JSW Cement Guest H</v>
          </cell>
          <cell r="D28" t="str">
            <v>P028-Payable in 20 days from SRN Date(Against RA Bill)</v>
          </cell>
          <cell r="F28" t="str">
            <v>74 - I/P GST 18% (GST + SGST)_RCM_ND</v>
          </cell>
        </row>
        <row r="29">
          <cell r="C29" t="str">
            <v>FNT - FOR Nandyal Transporter Godown</v>
          </cell>
          <cell r="D29" t="str">
            <v>P029-Payable in 21 days from SRN Date(Against RA Bill)</v>
          </cell>
          <cell r="F29" t="str">
            <v>75 - I/P GST 18% (IGST)_RCM_ND</v>
          </cell>
        </row>
        <row r="30">
          <cell r="C30" t="str">
            <v>FO1 - FOR with CST- Spec. Price</v>
          </cell>
          <cell r="D30" t="str">
            <v>P030-Payable in 30 days from SRN Date(Against RA Bill)</v>
          </cell>
          <cell r="F30" t="str">
            <v>31 - I/P GST 28% (14%CGST + 14%SGST)_Ded</v>
          </cell>
        </row>
        <row r="31">
          <cell r="C31" t="str">
            <v>FO2 - C Form FOR</v>
          </cell>
          <cell r="D31" t="str">
            <v>P031-100% Payment every 10th of month on subm of bill</v>
          </cell>
          <cell r="F31" t="str">
            <v>32 - I/P GST 28% (14%CGST + 14%SGST)_RCM</v>
          </cell>
        </row>
        <row r="32">
          <cell r="C32" t="str">
            <v>FOB - Free on board</v>
          </cell>
          <cell r="D32" t="str">
            <v>P032-50% After 6 months,Balance 50%</v>
          </cell>
          <cell r="F32" t="str">
            <v>33 - I/P GST 28% (14%CGST + 14%UGST)_Ded</v>
          </cell>
        </row>
        <row r="33">
          <cell r="C33" t="str">
            <v>FOR - Free on Road / Rail</v>
          </cell>
          <cell r="D33" t="str">
            <v>P033-95% immediate,5%on cerf by usr</v>
          </cell>
          <cell r="F33" t="str">
            <v>34 - I/P GST 28% (14%CGST + 14%UGST)_RCM</v>
          </cell>
        </row>
        <row r="34">
          <cell r="C34" t="str">
            <v>FOT - Free on Trade</v>
          </cell>
          <cell r="D34" t="str">
            <v>P034-As per Note</v>
          </cell>
          <cell r="F34" t="str">
            <v>35 - I/P GST 28% (IGST)_Ded</v>
          </cell>
        </row>
        <row r="35">
          <cell r="C35" t="str">
            <v>FTG - FOR Toranagallu.</v>
          </cell>
          <cell r="D35" t="str">
            <v>P035-100% against Proforma invoice</v>
          </cell>
          <cell r="F35" t="str">
            <v>36 - I/P GST 28% (IGST)_RCM</v>
          </cell>
        </row>
        <row r="36">
          <cell r="C36" t="str">
            <v>FZS - For JSWCL Site</v>
          </cell>
          <cell r="D36" t="str">
            <v>P036-50% ag Prof inv &amp; Bal 50%ag GR</v>
          </cell>
          <cell r="F36" t="str">
            <v>76 - I/P GST 28% (GST + SGST)_RCM_ND</v>
          </cell>
        </row>
        <row r="37">
          <cell r="C37" t="str">
            <v>PBT - To-Pay Bellary transport Godow</v>
          </cell>
          <cell r="D37" t="str">
            <v>P037-100% After RCPT upon Certification by Admin dept</v>
          </cell>
          <cell r="F37" t="str">
            <v>77 - I/P GST 28% (IGST)_RCM_ND</v>
          </cell>
        </row>
        <row r="38">
          <cell r="C38" t="str">
            <v>PHT - To-Pay Hospet transport Godown</v>
          </cell>
          <cell r="D38" t="str">
            <v>P038-100% Against Monthly Running Bills</v>
          </cell>
          <cell r="F38" t="str">
            <v>42 - I/P GST + CESS on Car 28%+ 1% (IGST)</v>
          </cell>
        </row>
        <row r="39">
          <cell r="C39" t="str">
            <v>PJS - To - Pay JSWCL Site</v>
          </cell>
          <cell r="D39" t="str">
            <v>P039-10% Adv, 80% Ag LC, 5% Ag PAT, 5% Ag FAT</v>
          </cell>
          <cell r="F39" t="str">
            <v>43 - I/P GST + CESS on Car 28%+ 3% (IGST)</v>
          </cell>
        </row>
        <row r="40">
          <cell r="C40" t="str">
            <v>PNT - To - Pay Nandyal Transporter G</v>
          </cell>
          <cell r="D40" t="str">
            <v>P040-100% Advance along with Order</v>
          </cell>
          <cell r="F40" t="str">
            <v>44 - I/P GST + CESS on Car 28%+ 15% (IGST)</v>
          </cell>
        </row>
        <row r="41">
          <cell r="C41" t="str">
            <v>PPD - Prepaid</v>
          </cell>
          <cell r="D41" t="str">
            <v>P041-100% against proforma invoice &amp; Proof of despatch</v>
          </cell>
          <cell r="F41" t="str">
            <v>45 - I/P GST + CESS on Car 28%+ 1% (CGST+SGST)</v>
          </cell>
        </row>
        <row r="42">
          <cell r="C42" t="str">
            <v>UN - Not Free</v>
          </cell>
          <cell r="D42" t="str">
            <v>P042-10% AD.AG.ABG, 80% AG.DEL,10% AG.PBG</v>
          </cell>
          <cell r="F42" t="str">
            <v>46 - I/P GST + CESS on Car 28%+ 3% (CGST+SGST)</v>
          </cell>
        </row>
        <row r="43">
          <cell r="C43" t="str">
            <v>ZEX - Salem Ex-Works Freight</v>
          </cell>
          <cell r="D43" t="str">
            <v>P043-100% Payment within 30 days</v>
          </cell>
          <cell r="F43" t="str">
            <v>47 - I/P GST + CESS on Car 28%+ 15% (CGST+SGST)</v>
          </cell>
        </row>
        <row r="44">
          <cell r="C44" t="str">
            <v>ZFR - Salem FOR Freight</v>
          </cell>
          <cell r="D44" t="str">
            <v>P044-90% against delivery and 10% against PBG</v>
          </cell>
          <cell r="F44" t="str">
            <v>80 - I/P 5% (CGST + SGST)_ND</v>
          </cell>
        </row>
        <row r="45">
          <cell r="D45" t="str">
            <v>P045-100 CS AG DO (CAD) D/P</v>
          </cell>
          <cell r="F45" t="str">
            <v>81 - I/P 12% (CGST + SGST)_ND</v>
          </cell>
        </row>
        <row r="46">
          <cell r="D46" t="str">
            <v>P046-100%on Cash against document(CAD)/Sight draft</v>
          </cell>
          <cell r="F46" t="str">
            <v>82 - I/P 18% (CGST + SGST)_ND</v>
          </cell>
        </row>
        <row r="47">
          <cell r="D47" t="str">
            <v>P047-100% Advance</v>
          </cell>
          <cell r="F47" t="str">
            <v>83 - I/P 28% (CGST + SGST)_ND</v>
          </cell>
        </row>
        <row r="48">
          <cell r="D48" t="str">
            <v>P048-80%API , balance 20% after Receipt of material</v>
          </cell>
          <cell r="F48" t="str">
            <v>37 - I/P GST 5% (IGST)_Import</v>
          </cell>
        </row>
        <row r="49">
          <cell r="D49" t="str">
            <v>P049-Payment within 7 days</v>
          </cell>
          <cell r="F49" t="str">
            <v>38 - I/P GST 12% (IGST)_Import</v>
          </cell>
        </row>
        <row r="50">
          <cell r="D50" t="str">
            <v>P050-20% TT advance, 80% TT one week before shipment</v>
          </cell>
          <cell r="F50" t="str">
            <v>39 - I/P GST 18% (IGST)_Import</v>
          </cell>
        </row>
        <row r="51">
          <cell r="D51" t="str">
            <v>P051-90% against PI &amp; 10% after Receipt of material</v>
          </cell>
          <cell r="F51" t="str">
            <v>40 - I/P GST 28% (IGST)_Import</v>
          </cell>
        </row>
        <row r="52">
          <cell r="D52" t="str">
            <v>P052-100% within 30days of receipt of material at site</v>
          </cell>
        </row>
        <row r="53">
          <cell r="D53" t="str">
            <v>P053-90% within 30 days and balance 10% against PBG</v>
          </cell>
        </row>
        <row r="54">
          <cell r="D54" t="str">
            <v>P054-100% against 30 days LC from the date of BOE</v>
          </cell>
        </row>
        <row r="55">
          <cell r="D55" t="str">
            <v>P055-70% against Performa invoice , balance in 30 days</v>
          </cell>
        </row>
        <row r="56">
          <cell r="D56" t="str">
            <v>P056-40% Advance, Balance 60% Against Proforma Invoice</v>
          </cell>
        </row>
        <row r="57">
          <cell r="D57" t="str">
            <v>P057-10% adv ag BG, bal with in 15 days after receipt</v>
          </cell>
        </row>
        <row r="58">
          <cell r="D58" t="str">
            <v>P058-15%advance AG.BG. 85% ag.delivery</v>
          </cell>
        </row>
        <row r="59">
          <cell r="D59" t="str">
            <v>P059-100% against PI /Exchange of material</v>
          </cell>
        </row>
        <row r="60">
          <cell r="D60" t="str">
            <v>P060-10%adv against ABG &amp; bal 90% against per.Inv</v>
          </cell>
        </row>
        <row r="61">
          <cell r="D61" t="str">
            <v>P061-75%ag PI bal 25%ag perform. after 3mths of install</v>
          </cell>
        </row>
        <row r="62">
          <cell r="D62" t="str">
            <v>P062-25%PI,25% ag del.bal in 60days/comsng.ref.sup.note</v>
          </cell>
        </row>
        <row r="63">
          <cell r="D63" t="str">
            <v>P063-90% against PI/PF 10% against PBG</v>
          </cell>
        </row>
        <row r="64">
          <cell r="D64" t="str">
            <v>P064-100% Against quaterly bills</v>
          </cell>
        </row>
        <row r="65">
          <cell r="D65" t="str">
            <v>P065-10%ADV. AG.BG.80% AGA.PI/PD/ 10%AG.PBG 12</v>
          </cell>
        </row>
        <row r="66">
          <cell r="D66" t="str">
            <v>P066-90% within 30 days of receipt, 10% against PPG</v>
          </cell>
        </row>
        <row r="67">
          <cell r="D67" t="str">
            <v>P067-100% against 45 days LC from the date of BOE</v>
          </cell>
        </row>
        <row r="68">
          <cell r="D68" t="str">
            <v>P068-100% against 60 days LC from the date of invoice</v>
          </cell>
        </row>
        <row r="69">
          <cell r="D69" t="str">
            <v>P069-100% against 90 days LC from the date of invoice</v>
          </cell>
        </row>
        <row r="70">
          <cell r="D70" t="str">
            <v>P070-100% against 180 days LC from BOE date with 10%PBG</v>
          </cell>
        </row>
        <row r="71">
          <cell r="D71" t="str">
            <v>P071-100% Against monthly Running Bills</v>
          </cell>
        </row>
        <row r="72">
          <cell r="D72" t="str">
            <v>P072-90% Against PI &amp; 10% against installation &amp; Comm</v>
          </cell>
        </row>
        <row r="73">
          <cell r="D73" t="str">
            <v>P073-30%Adv  Ag ABG, 60% Ag. API bal 10% after Comm</v>
          </cell>
        </row>
        <row r="74">
          <cell r="D74" t="str">
            <v>P074-40% PI, 40% Supply &amp; balance 20% after completion</v>
          </cell>
        </row>
        <row r="75">
          <cell r="D75" t="str">
            <v>P075-10% on Drawing, Aprox 80% PI &amp; 10% after Comms</v>
          </cell>
        </row>
        <row r="76">
          <cell r="D76" t="str">
            <v>P076-30% ABG, 60% 15 day from recipt Balance 10% PBG</v>
          </cell>
        </row>
        <row r="77">
          <cell r="D77" t="str">
            <v>P077-30% API, 60% Against delivery 30 days &amp; 10% COMMS</v>
          </cell>
        </row>
        <row r="78">
          <cell r="D78" t="str">
            <v>P078-Payment in 15 days of inv subj to Recpt&amp;acceptance</v>
          </cell>
        </row>
        <row r="79">
          <cell r="D79" t="str">
            <v>P079-Payment in 30 days of inv subj to Recpt&amp;acceptance</v>
          </cell>
        </row>
        <row r="80">
          <cell r="D80" t="str">
            <v>P080-Payment in 7 days of inv subj to Recpt&amp;acceptance</v>
          </cell>
        </row>
        <row r="81">
          <cell r="D81" t="str">
            <v>P081-20% Ag ABG, 70% Ag PI, balance 10% within 10 days</v>
          </cell>
        </row>
        <row r="82">
          <cell r="D82" t="str">
            <v>P082-50% Advance Against ABG &amp; Balance 50% Against PI</v>
          </cell>
        </row>
        <row r="83">
          <cell r="D83" t="str">
            <v>P083-70% API Bal in 15 days after Receipt of Material</v>
          </cell>
        </row>
        <row r="84">
          <cell r="D84" t="str">
            <v>P084-95% against RA, 5% after completion within 60 days</v>
          </cell>
        </row>
        <row r="85">
          <cell r="D85" t="str">
            <v>P085-25% advance against ABG &amp; balance 75% against API</v>
          </cell>
        </row>
        <row r="86">
          <cell r="D86" t="str">
            <v>P086-100% Immediate after receipt of material at site</v>
          </cell>
        </row>
        <row r="87">
          <cell r="D87" t="str">
            <v>P087-100% after Inspection before dispatch</v>
          </cell>
        </row>
        <row r="88">
          <cell r="D88" t="str">
            <v>P088-10% Ad Ag BG &amp; 90% w/i 30 days from recpt &amp; accept</v>
          </cell>
        </row>
        <row r="89">
          <cell r="D89" t="str">
            <v>P089-20% Ad Ag BG &amp; 80% w/i 30 days from recpt &amp; accept</v>
          </cell>
        </row>
        <row r="90">
          <cell r="D90" t="str">
            <v>P090-10% Ad Ag BG &amp; 90% w/i 15 days from recpt &amp; accept</v>
          </cell>
        </row>
        <row r="91">
          <cell r="D91" t="str">
            <v>P091-20% Ad Ag BG &amp; 80% w/i 15 days from recpt &amp; accept</v>
          </cell>
        </row>
        <row r="92">
          <cell r="D92" t="str">
            <v>P092-Payment in 21 days of inv subj to Recpt&amp;acceptance</v>
          </cell>
        </row>
        <row r="93">
          <cell r="D93" t="str">
            <v>P093-90% w/i 30days from recp/accep &amp; 10 after install.</v>
          </cell>
        </row>
        <row r="94">
          <cell r="D94" t="str">
            <v>P094-90% w/i 15days from recp/accep &amp; 10 after install.</v>
          </cell>
        </row>
        <row r="95">
          <cell r="D95" t="str">
            <v>P095-Pymnt in 30 days from recp/acc &amp;Ag BG of 10% basic</v>
          </cell>
        </row>
        <row r="96">
          <cell r="D96" t="str">
            <v>P096-Pymnt in 15 days from recp/acc &amp;Ag BG of 10% basic</v>
          </cell>
        </row>
        <row r="97">
          <cell r="D97" t="str">
            <v>P097-95% Cash agst doc bal 5% aft Cmpl of prfm.</v>
          </cell>
        </row>
        <row r="98">
          <cell r="D98" t="str">
            <v>P098-30%Adv  Ag ABG 70% API</v>
          </cell>
        </row>
        <row r="99">
          <cell r="D99" t="str">
            <v>P099-20% Agst Drawing Approval, 80% Agst PI.</v>
          </cell>
        </row>
        <row r="100">
          <cell r="D100" t="str">
            <v>P100-75% ag PI, 25% within 30 days</v>
          </cell>
        </row>
        <row r="101">
          <cell r="D101" t="str">
            <v>P101-75% ag PI, 25% within 30 days after GRN</v>
          </cell>
        </row>
        <row r="102">
          <cell r="D102" t="str">
            <v>P102-20% CBG + 80% API</v>
          </cell>
        </row>
        <row r="103">
          <cell r="D103" t="str">
            <v>P103-50% adv ag PI &amp; 50%+ tax &amp; duties</v>
          </cell>
        </row>
        <row r="104">
          <cell r="D104" t="str">
            <v>P104-30%Adv against ABG&amp;70%Taxes after receipt of mtrl</v>
          </cell>
        </row>
        <row r="105">
          <cell r="D105" t="str">
            <v>P105-85% against Proforma,balance with in 15days</v>
          </cell>
        </row>
        <row r="106">
          <cell r="D106" t="str">
            <v>P106-95%+Tax A/g RA within 15 Days &amp; Bal after 3 Month</v>
          </cell>
        </row>
        <row r="107">
          <cell r="D107" t="str">
            <v>P107-95%+Tax A/g RA within 15 Days &amp; Bal after 6 Month</v>
          </cell>
        </row>
        <row r="108">
          <cell r="D108" t="str">
            <v>P108-95%+Tax A/g RA within 15 Days &amp; Bal after 12 Month</v>
          </cell>
        </row>
        <row r="109">
          <cell r="D109" t="str">
            <v>P109-90%+Tax A/g RA within 15 Days &amp; Bal 12 Mth A/g PBG</v>
          </cell>
        </row>
        <row r="110">
          <cell r="D110" t="str">
            <v>P110-PAYMENT IN 7 DAYS FROM DATE OF RECEIPT OF MATERIAL</v>
          </cell>
        </row>
        <row r="111">
          <cell r="D111" t="str">
            <v>P111-PAYMENT IN 15 DAYS FROM DT. OF RECEIPT OF MATERIAL</v>
          </cell>
        </row>
        <row r="112">
          <cell r="D112" t="str">
            <v>P112-PAYMENT IN 21 DAYS FROM DT. OF RECEIPT OF MATERIAL</v>
          </cell>
        </row>
        <row r="113">
          <cell r="D113" t="str">
            <v>P113-PAYMENT IN 30 DAYS FROM DT. OF RECEIPT OF MATERIAL</v>
          </cell>
        </row>
        <row r="114">
          <cell r="D114" t="str">
            <v>P114-PAYMENT IN 45 DAYS FROM DT. OF RECEIPT OF MATERIAL</v>
          </cell>
        </row>
        <row r="115">
          <cell r="D115" t="str">
            <v>P115-PAYMENT IN 60 DAYS FROM DT. OF RECEIPT OF MATERIAL</v>
          </cell>
        </row>
        <row r="116">
          <cell r="D116" t="str">
            <v>P116-PAYMENT IN 90 DAYS FROM DT. OF RECEIPT OF MATERIAL</v>
          </cell>
        </row>
        <row r="117">
          <cell r="D117" t="str">
            <v>P117-PAYMENT IN 120 DAYS FROM DT.OF RECEIPT OF MATERIAL</v>
          </cell>
        </row>
        <row r="118">
          <cell r="D118" t="str">
            <v>P118-90%+100%Tax in 30 (D),Retention10% till Completion</v>
          </cell>
        </row>
        <row r="119">
          <cell r="D119" t="str">
            <v>P119-2% 10, Net 30days</v>
          </cell>
        </row>
        <row r="120">
          <cell r="D120" t="str">
            <v>P120-1% 10, Net 30days</v>
          </cell>
        </row>
        <row r="121">
          <cell r="D121" t="str">
            <v>P121-CIA-50 %; 50% NET 30</v>
          </cell>
        </row>
        <row r="122">
          <cell r="D122" t="str">
            <v>P122-CIA-25%, Net 30-75%</v>
          </cell>
        </row>
        <row r="123">
          <cell r="D123" t="str">
            <v>P123-NET 10</v>
          </cell>
        </row>
        <row r="124">
          <cell r="D124" t="str">
            <v>P124-50% CIA, 50% ON COMP</v>
          </cell>
        </row>
        <row r="125">
          <cell r="D125" t="str">
            <v>P125-NET 5</v>
          </cell>
        </row>
        <row r="126">
          <cell r="D126" t="str">
            <v>P126-CIA-50%, Net 10-50%</v>
          </cell>
        </row>
        <row r="127">
          <cell r="D127" t="str">
            <v>P127-50% payment in advance and 50% in 10 days.</v>
          </cell>
        </row>
        <row r="128">
          <cell r="D128" t="str">
            <v>P128-1/2% 10 Net 30</v>
          </cell>
        </row>
        <row r="129">
          <cell r="D129" t="str">
            <v>P130-10%on Drawing App,85% agt del,5%PBG</v>
          </cell>
        </row>
        <row r="130">
          <cell r="D130" t="str">
            <v>P131-Paymt shall released within 15days, 5% against PBG</v>
          </cell>
        </row>
        <row r="131">
          <cell r="D131" t="str">
            <v>P132-25% adv 70% within 15 days , 5% against PBG</v>
          </cell>
        </row>
        <row r="132">
          <cell r="D132" t="str">
            <v>P133-100% against ABG</v>
          </cell>
        </row>
        <row r="133">
          <cell r="D133" t="str">
            <v>P134-100% against exchange of Documents</v>
          </cell>
        </row>
        <row r="134">
          <cell r="D134" t="str">
            <v>P135-100% Against Completion of Work with in 30d/credit</v>
          </cell>
        </row>
        <row r="135">
          <cell r="D135" t="str">
            <v>P136-Net 30 Days from Inv Date/Rel of Pipe for shipment</v>
          </cell>
        </row>
        <row r="136">
          <cell r="D136" t="str">
            <v>P137-Due upon Receipt of Invoice</v>
          </cell>
        </row>
        <row r="137">
          <cell r="D137" t="str">
            <v>P138-Credit Card</v>
          </cell>
        </row>
        <row r="138">
          <cell r="D138" t="str">
            <v>P139-90%+Tax A/g RA within 30 Days,Bal 10%Suc.com ofPBG</v>
          </cell>
        </row>
        <row r="139">
          <cell r="D139" t="str">
            <v>P140-95%+Tax A/g RA within 30 Days,Bal 5%Suc.com ofPBG</v>
          </cell>
        </row>
        <row r="140">
          <cell r="D140" t="str">
            <v>P141-90% against shipping docs,Bal10% against FAC&amp;PBG</v>
          </cell>
        </row>
        <row r="141">
          <cell r="D141" t="str">
            <v>P147-50% ADV ag ABG 50% ag Inv in 30D</v>
          </cell>
        </row>
        <row r="142">
          <cell r="D142" t="str">
            <v>P148-10% AdvABG 85%RA bill  20 D 70%30D30%5%RTBG</v>
          </cell>
        </row>
        <row r="143">
          <cell r="D143" t="str">
            <v>P149-90% within 30days agstRA bills,10%RT DEF Liab</v>
          </cell>
        </row>
        <row r="144">
          <cell r="D144" t="str">
            <v>P150-10% adv ag ABG, 80% in 15 days ag RA, 10% ag PBG</v>
          </cell>
        </row>
        <row r="145">
          <cell r="D145" t="str">
            <v>P151-100% of PO 60% RA bill  20 D 40%RA bill 30 D</v>
          </cell>
        </row>
        <row r="146">
          <cell r="D146" t="str">
            <v>P152-90% on CAD, balance 10 % with in 3 PC// PBG / Del</v>
          </cell>
        </row>
        <row r="147">
          <cell r="D147" t="str">
            <v>P153-90% in 30 Days agReceiptMat, balanc,10%PBG</v>
          </cell>
        </row>
        <row r="148">
          <cell r="D148" t="str">
            <v>P154-10% Adv. 80% 30 days Credit 10% PBG</v>
          </cell>
        </row>
        <row r="149">
          <cell r="D149" t="str">
            <v>P500-95% immediate,5% on certified by user department</v>
          </cell>
        </row>
        <row r="150">
          <cell r="D150" t="str">
            <v>P527-100% Against wire transfer</v>
          </cell>
        </row>
        <row r="151">
          <cell r="D151" t="str">
            <v>P529-50%Adv.along with order&amp;Bal 50%  A.P.I</v>
          </cell>
        </row>
        <row r="152">
          <cell r="D152" t="str">
            <v>P545-100% Against despatch doc through letter of credit</v>
          </cell>
        </row>
        <row r="153">
          <cell r="D153" t="str">
            <v>P551-100% on COD basis</v>
          </cell>
        </row>
        <row r="154">
          <cell r="D154" t="str">
            <v>P552-100% Advance as per delivery schedule</v>
          </cell>
        </row>
        <row r="155">
          <cell r="D155" t="str">
            <v>P555-100% Against 30 days LC from the date of invoice</v>
          </cell>
        </row>
        <row r="156">
          <cell r="D156" t="str">
            <v>P557-100% By irrevocable LC at sight</v>
          </cell>
        </row>
        <row r="157">
          <cell r="D157" t="str">
            <v>P558-100% LC/advance</v>
          </cell>
        </row>
        <row r="158">
          <cell r="D158" t="str">
            <v>P559-180 days usance LC against BOL</v>
          </cell>
        </row>
        <row r="159">
          <cell r="D159" t="str">
            <v>P560-Cash Against Document - CAD</v>
          </cell>
        </row>
        <row r="160">
          <cell r="D160" t="str">
            <v>P561-10% against drawing Appr &amp; 90% against PI</v>
          </cell>
        </row>
        <row r="161">
          <cell r="D161" t="str">
            <v>P562-50%Advance, 50%After Successful completion of work</v>
          </cell>
        </row>
        <row r="162">
          <cell r="D162" t="str">
            <v>P563-15% Advance ABG &amp; 85% Against PI</v>
          </cell>
        </row>
        <row r="163">
          <cell r="D163" t="str">
            <v>P564-50%-Supply,40%-I&amp;C,10%- within 30 days</v>
          </cell>
        </row>
        <row r="164">
          <cell r="D164" t="str">
            <v>P565-25%Advance alongwith order,75% Against PI</v>
          </cell>
        </row>
        <row r="165">
          <cell r="D165" t="str">
            <v>P566-10%adv,ABG,10% agt drg.app,70%PI,bal10%PBG</v>
          </cell>
        </row>
        <row r="166">
          <cell r="D166" t="str">
            <v>P567-40% Adv.agt ABG, 60% API</v>
          </cell>
        </row>
        <row r="167">
          <cell r="D167" t="str">
            <v>P568-100%AGT PROFORMA INVOICE,10% AGT PBG</v>
          </cell>
        </row>
        <row r="168">
          <cell r="D168" t="str">
            <v>P569-15%Adv agt G.A Drg App,85% Agt PI</v>
          </cell>
        </row>
        <row r="169">
          <cell r="D169" t="str">
            <v>P570-20%Adv,70%API,Bal 10% within 30 days</v>
          </cell>
        </row>
        <row r="170">
          <cell r="D170" t="str">
            <v>P571-90%within 90 Days frm Inv dt10% AG PBG</v>
          </cell>
        </row>
        <row r="171">
          <cell r="D171" t="str">
            <v>P572-100%within 30 Days -D/A(Through Bank)</v>
          </cell>
        </row>
        <row r="172">
          <cell r="D172" t="str">
            <v>P573-10%Adv agst ABG,80%API,10%successful comm</v>
          </cell>
        </row>
        <row r="173">
          <cell r="D173" t="str">
            <v>P574-30%Adv along with PO, 70% agst PI</v>
          </cell>
        </row>
        <row r="174">
          <cell r="D174" t="str">
            <v>P575-30%Adv agt ABG&amp;70%Taxes aft. receipt of mtrl,5%PBG</v>
          </cell>
        </row>
        <row r="175">
          <cell r="D175" t="str">
            <v>P576-20%Adv ABG,80% against PI</v>
          </cell>
        </row>
        <row r="176">
          <cell r="D176" t="str">
            <v>P577-50% Advance,50% Receipt of Mat. 30days</v>
          </cell>
        </row>
        <row r="177">
          <cell r="D177" t="str">
            <v>P578-40% Against PI, 60% agt 30days</v>
          </cell>
        </row>
        <row r="178">
          <cell r="D178" t="str">
            <v>P579-20%Adv, 80% agt disp doc proof</v>
          </cell>
        </row>
        <row r="179">
          <cell r="D179" t="str">
            <v>P580-10%Adv,80% -90days credit,10%Suc. comm</v>
          </cell>
        </row>
        <row r="180">
          <cell r="D180" t="str">
            <v>P581-90%CAD,10% against completion of work</v>
          </cell>
        </row>
        <row r="181">
          <cell r="D181" t="str">
            <v>P582-30days credit alongwith 10%PBG</v>
          </cell>
        </row>
        <row r="182">
          <cell r="D182" t="str">
            <v>P583-30% against PI, balance 30 days credit</v>
          </cell>
        </row>
        <row r="183">
          <cell r="D183" t="str">
            <v>P584-95% A/g RA within 30Days &amp; Bal after 3 Month</v>
          </cell>
        </row>
        <row r="184">
          <cell r="D184" t="str">
            <v>P585-95% A/g RA within 30Days &amp; Bal after 6 Month</v>
          </cell>
        </row>
        <row r="185">
          <cell r="D185" t="str">
            <v>P586-95% within 30 days of receipt, 5% against PBG</v>
          </cell>
        </row>
        <row r="186">
          <cell r="D186" t="str">
            <v>P587-95% A/g RA within 30Days &amp; Bal after 12Month</v>
          </cell>
        </row>
        <row r="187">
          <cell r="D187" t="str">
            <v>P588-100% against dispatch Document through Bank</v>
          </cell>
        </row>
        <row r="188">
          <cell r="D188" t="str">
            <v>P589-50% Advance Against CG &amp; 50% Against API</v>
          </cell>
        </row>
        <row r="189">
          <cell r="D189" t="str">
            <v>P590-90% within 30 days &amp; bal 10% agst CG</v>
          </cell>
        </row>
        <row r="190">
          <cell r="D190" t="str">
            <v>P591-10%Advance alongwith PO, 90%PI</v>
          </cell>
        </row>
        <row r="191">
          <cell r="D191" t="str">
            <v>P592-20% Advance, 80% API</v>
          </cell>
        </row>
        <row r="192">
          <cell r="D192" t="str">
            <v>P593-30% Ag.ABG,65% agt. PI,5%PBG</v>
          </cell>
        </row>
        <row r="193">
          <cell r="D193" t="str">
            <v>P594-10%Adv,10%D&amp;E,40%Prf,30%+100%T&amp;D,10%PBG</v>
          </cell>
        </row>
        <row r="194">
          <cell r="D194" t="str">
            <v>P595-20% Ad Ag BG &amp; 80% W/i 10 days from recpt &amp; accept</v>
          </cell>
        </row>
        <row r="195">
          <cell r="D195" t="str">
            <v>P596-100% within 30days agst monthly certified RA bills</v>
          </cell>
        </row>
        <row r="196">
          <cell r="D196" t="str">
            <v>P700-Balance 20% within 30days of receipt of material</v>
          </cell>
        </row>
        <row r="197">
          <cell r="D197" t="str">
            <v>P701-20% ADV &amp; 80% AGAINST COMPLETION</v>
          </cell>
        </row>
        <row r="198">
          <cell r="D198" t="str">
            <v>P702-25% ADV &amp; 75% AGAINST COMPLETION</v>
          </cell>
        </row>
        <row r="199">
          <cell r="D199" t="str">
            <v>P703-15% ABG, 75% PROOF OF DESPATCH &amp; 10% PBG</v>
          </cell>
        </row>
        <row r="200">
          <cell r="D200" t="str">
            <v>P704-10%ABG,80%30DAYCredit,5%PAT,5%FAT</v>
          </cell>
        </row>
        <row r="201">
          <cell r="D201" t="str">
            <v>P705-ABG60%30DAY10%Er10%Com10%PG</v>
          </cell>
        </row>
        <row r="202">
          <cell r="D202" t="str">
            <v>P706-15%Adv ABG,75% insp,10% PBG</v>
          </cell>
        </row>
        <row r="203">
          <cell r="D203" t="str">
            <v>P707-20%AdvABG,70%agt supMat,10%Suc.com ofPBG</v>
          </cell>
        </row>
        <row r="204">
          <cell r="D204" t="str">
            <v>P708-85%+100% taxes API,15%  agt Receipt Mat</v>
          </cell>
        </row>
        <row r="205">
          <cell r="D205" t="str">
            <v>P709-30%ABG,70%Agt Receipt of Mat</v>
          </cell>
        </row>
        <row r="206">
          <cell r="D206" t="str">
            <v>P710-60%Advance,40% at del. time</v>
          </cell>
        </row>
        <row r="207">
          <cell r="D207" t="str">
            <v>P711-50% ag del./ 50% ag inst.</v>
          </cell>
        </row>
      </sheetData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7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6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7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8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8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6.bin"/><Relationship Id="rId4" Type="http://schemas.openxmlformats.org/officeDocument/2006/relationships/comments" Target="../comments3.xml"/></Relationships>
</file>

<file path=xl/worksheets/_rels/sheet8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7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9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9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9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10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9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7.bin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8.bin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9.bin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0.bin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1.bin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2.bin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14"/>
  <sheetViews>
    <sheetView view="pageBreakPreview" topLeftCell="A14" zoomScaleSheetLayoutView="100" workbookViewId="0">
      <selection activeCell="K28" sqref="K28"/>
    </sheetView>
  </sheetViews>
  <sheetFormatPr defaultRowHeight="12.75"/>
  <cols>
    <col min="1" max="1" width="5.42578125" style="2" customWidth="1"/>
    <col min="2" max="2" width="11" style="2" customWidth="1"/>
    <col min="3" max="3" width="9.5703125" style="2" bestFit="1" customWidth="1"/>
    <col min="4" max="5" width="9.140625" style="2"/>
    <col min="6" max="6" width="28.5703125" style="2" customWidth="1"/>
    <col min="7" max="7" width="11.85546875" style="2" customWidth="1"/>
    <col min="8" max="8" width="9.28515625" style="2" customWidth="1"/>
    <col min="9" max="9" width="5.140625" style="7" customWidth="1"/>
    <col min="10" max="10" width="13.5703125" style="7" customWidth="1"/>
    <col min="11" max="11" width="9" style="2" bestFit="1" customWidth="1"/>
    <col min="12" max="12" width="11" style="2" bestFit="1" customWidth="1"/>
    <col min="13" max="13" width="19.7109375" style="1" customWidth="1"/>
    <col min="14" max="14" width="9.85546875" style="1" bestFit="1" customWidth="1"/>
    <col min="15" max="15" width="9.28515625" style="1" bestFit="1" customWidth="1"/>
    <col min="16" max="16" width="12.42578125" style="2" bestFit="1" customWidth="1"/>
    <col min="17" max="258" width="9.140625" style="2"/>
    <col min="259" max="259" width="5.42578125" style="2" customWidth="1"/>
    <col min="260" max="260" width="7" style="2" bestFit="1" customWidth="1"/>
    <col min="261" max="261" width="9.5703125" style="2" bestFit="1" customWidth="1"/>
    <col min="262" max="263" width="9.140625" style="2"/>
    <col min="264" max="264" width="28.5703125" style="2" customWidth="1"/>
    <col min="265" max="265" width="5.140625" style="2" customWidth="1"/>
    <col min="266" max="266" width="6.28515625" style="2" customWidth="1"/>
    <col min="267" max="267" width="8.28515625" style="2" bestFit="1" customWidth="1"/>
    <col min="268" max="268" width="9.140625" style="2" bestFit="1" customWidth="1"/>
    <col min="269" max="269" width="19.7109375" style="2" customWidth="1"/>
    <col min="270" max="514" width="9.140625" style="2"/>
    <col min="515" max="515" width="5.42578125" style="2" customWidth="1"/>
    <col min="516" max="516" width="7" style="2" bestFit="1" customWidth="1"/>
    <col min="517" max="517" width="9.5703125" style="2" bestFit="1" customWidth="1"/>
    <col min="518" max="519" width="9.140625" style="2"/>
    <col min="520" max="520" width="28.5703125" style="2" customWidth="1"/>
    <col min="521" max="521" width="5.140625" style="2" customWidth="1"/>
    <col min="522" max="522" width="6.28515625" style="2" customWidth="1"/>
    <col min="523" max="523" width="8.28515625" style="2" bestFit="1" customWidth="1"/>
    <col min="524" max="524" width="9.140625" style="2" bestFit="1" customWidth="1"/>
    <col min="525" max="525" width="19.7109375" style="2" customWidth="1"/>
    <col min="526" max="770" width="9.140625" style="2"/>
    <col min="771" max="771" width="5.42578125" style="2" customWidth="1"/>
    <col min="772" max="772" width="7" style="2" bestFit="1" customWidth="1"/>
    <col min="773" max="773" width="9.5703125" style="2" bestFit="1" customWidth="1"/>
    <col min="774" max="775" width="9.140625" style="2"/>
    <col min="776" max="776" width="28.5703125" style="2" customWidth="1"/>
    <col min="777" max="777" width="5.140625" style="2" customWidth="1"/>
    <col min="778" max="778" width="6.28515625" style="2" customWidth="1"/>
    <col min="779" max="779" width="8.28515625" style="2" bestFit="1" customWidth="1"/>
    <col min="780" max="780" width="9.140625" style="2" bestFit="1" customWidth="1"/>
    <col min="781" max="781" width="19.7109375" style="2" customWidth="1"/>
    <col min="782" max="1026" width="9.140625" style="2"/>
    <col min="1027" max="1027" width="5.42578125" style="2" customWidth="1"/>
    <col min="1028" max="1028" width="7" style="2" bestFit="1" customWidth="1"/>
    <col min="1029" max="1029" width="9.5703125" style="2" bestFit="1" customWidth="1"/>
    <col min="1030" max="1031" width="9.140625" style="2"/>
    <col min="1032" max="1032" width="28.5703125" style="2" customWidth="1"/>
    <col min="1033" max="1033" width="5.140625" style="2" customWidth="1"/>
    <col min="1034" max="1034" width="6.28515625" style="2" customWidth="1"/>
    <col min="1035" max="1035" width="8.28515625" style="2" bestFit="1" customWidth="1"/>
    <col min="1036" max="1036" width="9.140625" style="2" bestFit="1" customWidth="1"/>
    <col min="1037" max="1037" width="19.7109375" style="2" customWidth="1"/>
    <col min="1038" max="1282" width="9.140625" style="2"/>
    <col min="1283" max="1283" width="5.42578125" style="2" customWidth="1"/>
    <col min="1284" max="1284" width="7" style="2" bestFit="1" customWidth="1"/>
    <col min="1285" max="1285" width="9.5703125" style="2" bestFit="1" customWidth="1"/>
    <col min="1286" max="1287" width="9.140625" style="2"/>
    <col min="1288" max="1288" width="28.5703125" style="2" customWidth="1"/>
    <col min="1289" max="1289" width="5.140625" style="2" customWidth="1"/>
    <col min="1290" max="1290" width="6.28515625" style="2" customWidth="1"/>
    <col min="1291" max="1291" width="8.28515625" style="2" bestFit="1" customWidth="1"/>
    <col min="1292" max="1292" width="9.140625" style="2" bestFit="1" customWidth="1"/>
    <col min="1293" max="1293" width="19.7109375" style="2" customWidth="1"/>
    <col min="1294" max="1538" width="9.140625" style="2"/>
    <col min="1539" max="1539" width="5.42578125" style="2" customWidth="1"/>
    <col min="1540" max="1540" width="7" style="2" bestFit="1" customWidth="1"/>
    <col min="1541" max="1541" width="9.5703125" style="2" bestFit="1" customWidth="1"/>
    <col min="1542" max="1543" width="9.140625" style="2"/>
    <col min="1544" max="1544" width="28.5703125" style="2" customWidth="1"/>
    <col min="1545" max="1545" width="5.140625" style="2" customWidth="1"/>
    <col min="1546" max="1546" width="6.28515625" style="2" customWidth="1"/>
    <col min="1547" max="1547" width="8.28515625" style="2" bestFit="1" customWidth="1"/>
    <col min="1548" max="1548" width="9.140625" style="2" bestFit="1" customWidth="1"/>
    <col min="1549" max="1549" width="19.7109375" style="2" customWidth="1"/>
    <col min="1550" max="1794" width="9.140625" style="2"/>
    <col min="1795" max="1795" width="5.42578125" style="2" customWidth="1"/>
    <col min="1796" max="1796" width="7" style="2" bestFit="1" customWidth="1"/>
    <col min="1797" max="1797" width="9.5703125" style="2" bestFit="1" customWidth="1"/>
    <col min="1798" max="1799" width="9.140625" style="2"/>
    <col min="1800" max="1800" width="28.5703125" style="2" customWidth="1"/>
    <col min="1801" max="1801" width="5.140625" style="2" customWidth="1"/>
    <col min="1802" max="1802" width="6.28515625" style="2" customWidth="1"/>
    <col min="1803" max="1803" width="8.28515625" style="2" bestFit="1" customWidth="1"/>
    <col min="1804" max="1804" width="9.140625" style="2" bestFit="1" customWidth="1"/>
    <col min="1805" max="1805" width="19.7109375" style="2" customWidth="1"/>
    <col min="1806" max="2050" width="9.140625" style="2"/>
    <col min="2051" max="2051" width="5.42578125" style="2" customWidth="1"/>
    <col min="2052" max="2052" width="7" style="2" bestFit="1" customWidth="1"/>
    <col min="2053" max="2053" width="9.5703125" style="2" bestFit="1" customWidth="1"/>
    <col min="2054" max="2055" width="9.140625" style="2"/>
    <col min="2056" max="2056" width="28.5703125" style="2" customWidth="1"/>
    <col min="2057" max="2057" width="5.140625" style="2" customWidth="1"/>
    <col min="2058" max="2058" width="6.28515625" style="2" customWidth="1"/>
    <col min="2059" max="2059" width="8.28515625" style="2" bestFit="1" customWidth="1"/>
    <col min="2060" max="2060" width="9.140625" style="2" bestFit="1" customWidth="1"/>
    <col min="2061" max="2061" width="19.7109375" style="2" customWidth="1"/>
    <col min="2062" max="2306" width="9.140625" style="2"/>
    <col min="2307" max="2307" width="5.42578125" style="2" customWidth="1"/>
    <col min="2308" max="2308" width="7" style="2" bestFit="1" customWidth="1"/>
    <col min="2309" max="2309" width="9.5703125" style="2" bestFit="1" customWidth="1"/>
    <col min="2310" max="2311" width="9.140625" style="2"/>
    <col min="2312" max="2312" width="28.5703125" style="2" customWidth="1"/>
    <col min="2313" max="2313" width="5.140625" style="2" customWidth="1"/>
    <col min="2314" max="2314" width="6.28515625" style="2" customWidth="1"/>
    <col min="2315" max="2315" width="8.28515625" style="2" bestFit="1" customWidth="1"/>
    <col min="2316" max="2316" width="9.140625" style="2" bestFit="1" customWidth="1"/>
    <col min="2317" max="2317" width="19.7109375" style="2" customWidth="1"/>
    <col min="2318" max="2562" width="9.140625" style="2"/>
    <col min="2563" max="2563" width="5.42578125" style="2" customWidth="1"/>
    <col min="2564" max="2564" width="7" style="2" bestFit="1" customWidth="1"/>
    <col min="2565" max="2565" width="9.5703125" style="2" bestFit="1" customWidth="1"/>
    <col min="2566" max="2567" width="9.140625" style="2"/>
    <col min="2568" max="2568" width="28.5703125" style="2" customWidth="1"/>
    <col min="2569" max="2569" width="5.140625" style="2" customWidth="1"/>
    <col min="2570" max="2570" width="6.28515625" style="2" customWidth="1"/>
    <col min="2571" max="2571" width="8.28515625" style="2" bestFit="1" customWidth="1"/>
    <col min="2572" max="2572" width="9.140625" style="2" bestFit="1" customWidth="1"/>
    <col min="2573" max="2573" width="19.7109375" style="2" customWidth="1"/>
    <col min="2574" max="2818" width="9.140625" style="2"/>
    <col min="2819" max="2819" width="5.42578125" style="2" customWidth="1"/>
    <col min="2820" max="2820" width="7" style="2" bestFit="1" customWidth="1"/>
    <col min="2821" max="2821" width="9.5703125" style="2" bestFit="1" customWidth="1"/>
    <col min="2822" max="2823" width="9.140625" style="2"/>
    <col min="2824" max="2824" width="28.5703125" style="2" customWidth="1"/>
    <col min="2825" max="2825" width="5.140625" style="2" customWidth="1"/>
    <col min="2826" max="2826" width="6.28515625" style="2" customWidth="1"/>
    <col min="2827" max="2827" width="8.28515625" style="2" bestFit="1" customWidth="1"/>
    <col min="2828" max="2828" width="9.140625" style="2" bestFit="1" customWidth="1"/>
    <col min="2829" max="2829" width="19.7109375" style="2" customWidth="1"/>
    <col min="2830" max="3074" width="9.140625" style="2"/>
    <col min="3075" max="3075" width="5.42578125" style="2" customWidth="1"/>
    <col min="3076" max="3076" width="7" style="2" bestFit="1" customWidth="1"/>
    <col min="3077" max="3077" width="9.5703125" style="2" bestFit="1" customWidth="1"/>
    <col min="3078" max="3079" width="9.140625" style="2"/>
    <col min="3080" max="3080" width="28.5703125" style="2" customWidth="1"/>
    <col min="3081" max="3081" width="5.140625" style="2" customWidth="1"/>
    <col min="3082" max="3082" width="6.28515625" style="2" customWidth="1"/>
    <col min="3083" max="3083" width="8.28515625" style="2" bestFit="1" customWidth="1"/>
    <col min="3084" max="3084" width="9.140625" style="2" bestFit="1" customWidth="1"/>
    <col min="3085" max="3085" width="19.7109375" style="2" customWidth="1"/>
    <col min="3086" max="3330" width="9.140625" style="2"/>
    <col min="3331" max="3331" width="5.42578125" style="2" customWidth="1"/>
    <col min="3332" max="3332" width="7" style="2" bestFit="1" customWidth="1"/>
    <col min="3333" max="3333" width="9.5703125" style="2" bestFit="1" customWidth="1"/>
    <col min="3334" max="3335" width="9.140625" style="2"/>
    <col min="3336" max="3336" width="28.5703125" style="2" customWidth="1"/>
    <col min="3337" max="3337" width="5.140625" style="2" customWidth="1"/>
    <col min="3338" max="3338" width="6.28515625" style="2" customWidth="1"/>
    <col min="3339" max="3339" width="8.28515625" style="2" bestFit="1" customWidth="1"/>
    <col min="3340" max="3340" width="9.140625" style="2" bestFit="1" customWidth="1"/>
    <col min="3341" max="3341" width="19.7109375" style="2" customWidth="1"/>
    <col min="3342" max="3586" width="9.140625" style="2"/>
    <col min="3587" max="3587" width="5.42578125" style="2" customWidth="1"/>
    <col min="3588" max="3588" width="7" style="2" bestFit="1" customWidth="1"/>
    <col min="3589" max="3589" width="9.5703125" style="2" bestFit="1" customWidth="1"/>
    <col min="3590" max="3591" width="9.140625" style="2"/>
    <col min="3592" max="3592" width="28.5703125" style="2" customWidth="1"/>
    <col min="3593" max="3593" width="5.140625" style="2" customWidth="1"/>
    <col min="3594" max="3594" width="6.28515625" style="2" customWidth="1"/>
    <col min="3595" max="3595" width="8.28515625" style="2" bestFit="1" customWidth="1"/>
    <col min="3596" max="3596" width="9.140625" style="2" bestFit="1" customWidth="1"/>
    <col min="3597" max="3597" width="19.7109375" style="2" customWidth="1"/>
    <col min="3598" max="3842" width="9.140625" style="2"/>
    <col min="3843" max="3843" width="5.42578125" style="2" customWidth="1"/>
    <col min="3844" max="3844" width="7" style="2" bestFit="1" customWidth="1"/>
    <col min="3845" max="3845" width="9.5703125" style="2" bestFit="1" customWidth="1"/>
    <col min="3846" max="3847" width="9.140625" style="2"/>
    <col min="3848" max="3848" width="28.5703125" style="2" customWidth="1"/>
    <col min="3849" max="3849" width="5.140625" style="2" customWidth="1"/>
    <col min="3850" max="3850" width="6.28515625" style="2" customWidth="1"/>
    <col min="3851" max="3851" width="8.28515625" style="2" bestFit="1" customWidth="1"/>
    <col min="3852" max="3852" width="9.140625" style="2" bestFit="1" customWidth="1"/>
    <col min="3853" max="3853" width="19.7109375" style="2" customWidth="1"/>
    <col min="3854" max="4098" width="9.140625" style="2"/>
    <col min="4099" max="4099" width="5.42578125" style="2" customWidth="1"/>
    <col min="4100" max="4100" width="7" style="2" bestFit="1" customWidth="1"/>
    <col min="4101" max="4101" width="9.5703125" style="2" bestFit="1" customWidth="1"/>
    <col min="4102" max="4103" width="9.140625" style="2"/>
    <col min="4104" max="4104" width="28.5703125" style="2" customWidth="1"/>
    <col min="4105" max="4105" width="5.140625" style="2" customWidth="1"/>
    <col min="4106" max="4106" width="6.28515625" style="2" customWidth="1"/>
    <col min="4107" max="4107" width="8.28515625" style="2" bestFit="1" customWidth="1"/>
    <col min="4108" max="4108" width="9.140625" style="2" bestFit="1" customWidth="1"/>
    <col min="4109" max="4109" width="19.7109375" style="2" customWidth="1"/>
    <col min="4110" max="4354" width="9.140625" style="2"/>
    <col min="4355" max="4355" width="5.42578125" style="2" customWidth="1"/>
    <col min="4356" max="4356" width="7" style="2" bestFit="1" customWidth="1"/>
    <col min="4357" max="4357" width="9.5703125" style="2" bestFit="1" customWidth="1"/>
    <col min="4358" max="4359" width="9.140625" style="2"/>
    <col min="4360" max="4360" width="28.5703125" style="2" customWidth="1"/>
    <col min="4361" max="4361" width="5.140625" style="2" customWidth="1"/>
    <col min="4362" max="4362" width="6.28515625" style="2" customWidth="1"/>
    <col min="4363" max="4363" width="8.28515625" style="2" bestFit="1" customWidth="1"/>
    <col min="4364" max="4364" width="9.140625" style="2" bestFit="1" customWidth="1"/>
    <col min="4365" max="4365" width="19.7109375" style="2" customWidth="1"/>
    <col min="4366" max="4610" width="9.140625" style="2"/>
    <col min="4611" max="4611" width="5.42578125" style="2" customWidth="1"/>
    <col min="4612" max="4612" width="7" style="2" bestFit="1" customWidth="1"/>
    <col min="4613" max="4613" width="9.5703125" style="2" bestFit="1" customWidth="1"/>
    <col min="4614" max="4615" width="9.140625" style="2"/>
    <col min="4616" max="4616" width="28.5703125" style="2" customWidth="1"/>
    <col min="4617" max="4617" width="5.140625" style="2" customWidth="1"/>
    <col min="4618" max="4618" width="6.28515625" style="2" customWidth="1"/>
    <col min="4619" max="4619" width="8.28515625" style="2" bestFit="1" customWidth="1"/>
    <col min="4620" max="4620" width="9.140625" style="2" bestFit="1" customWidth="1"/>
    <col min="4621" max="4621" width="19.7109375" style="2" customWidth="1"/>
    <col min="4622" max="4866" width="9.140625" style="2"/>
    <col min="4867" max="4867" width="5.42578125" style="2" customWidth="1"/>
    <col min="4868" max="4868" width="7" style="2" bestFit="1" customWidth="1"/>
    <col min="4869" max="4869" width="9.5703125" style="2" bestFit="1" customWidth="1"/>
    <col min="4870" max="4871" width="9.140625" style="2"/>
    <col min="4872" max="4872" width="28.5703125" style="2" customWidth="1"/>
    <col min="4873" max="4873" width="5.140625" style="2" customWidth="1"/>
    <col min="4874" max="4874" width="6.28515625" style="2" customWidth="1"/>
    <col min="4875" max="4875" width="8.28515625" style="2" bestFit="1" customWidth="1"/>
    <col min="4876" max="4876" width="9.140625" style="2" bestFit="1" customWidth="1"/>
    <col min="4877" max="4877" width="19.7109375" style="2" customWidth="1"/>
    <col min="4878" max="5122" width="9.140625" style="2"/>
    <col min="5123" max="5123" width="5.42578125" style="2" customWidth="1"/>
    <col min="5124" max="5124" width="7" style="2" bestFit="1" customWidth="1"/>
    <col min="5125" max="5125" width="9.5703125" style="2" bestFit="1" customWidth="1"/>
    <col min="5126" max="5127" width="9.140625" style="2"/>
    <col min="5128" max="5128" width="28.5703125" style="2" customWidth="1"/>
    <col min="5129" max="5129" width="5.140625" style="2" customWidth="1"/>
    <col min="5130" max="5130" width="6.28515625" style="2" customWidth="1"/>
    <col min="5131" max="5131" width="8.28515625" style="2" bestFit="1" customWidth="1"/>
    <col min="5132" max="5132" width="9.140625" style="2" bestFit="1" customWidth="1"/>
    <col min="5133" max="5133" width="19.7109375" style="2" customWidth="1"/>
    <col min="5134" max="5378" width="9.140625" style="2"/>
    <col min="5379" max="5379" width="5.42578125" style="2" customWidth="1"/>
    <col min="5380" max="5380" width="7" style="2" bestFit="1" customWidth="1"/>
    <col min="5381" max="5381" width="9.5703125" style="2" bestFit="1" customWidth="1"/>
    <col min="5382" max="5383" width="9.140625" style="2"/>
    <col min="5384" max="5384" width="28.5703125" style="2" customWidth="1"/>
    <col min="5385" max="5385" width="5.140625" style="2" customWidth="1"/>
    <col min="5386" max="5386" width="6.28515625" style="2" customWidth="1"/>
    <col min="5387" max="5387" width="8.28515625" style="2" bestFit="1" customWidth="1"/>
    <col min="5388" max="5388" width="9.140625" style="2" bestFit="1" customWidth="1"/>
    <col min="5389" max="5389" width="19.7109375" style="2" customWidth="1"/>
    <col min="5390" max="5634" width="9.140625" style="2"/>
    <col min="5635" max="5635" width="5.42578125" style="2" customWidth="1"/>
    <col min="5636" max="5636" width="7" style="2" bestFit="1" customWidth="1"/>
    <col min="5637" max="5637" width="9.5703125" style="2" bestFit="1" customWidth="1"/>
    <col min="5638" max="5639" width="9.140625" style="2"/>
    <col min="5640" max="5640" width="28.5703125" style="2" customWidth="1"/>
    <col min="5641" max="5641" width="5.140625" style="2" customWidth="1"/>
    <col min="5642" max="5642" width="6.28515625" style="2" customWidth="1"/>
    <col min="5643" max="5643" width="8.28515625" style="2" bestFit="1" customWidth="1"/>
    <col min="5644" max="5644" width="9.140625" style="2" bestFit="1" customWidth="1"/>
    <col min="5645" max="5645" width="19.7109375" style="2" customWidth="1"/>
    <col min="5646" max="5890" width="9.140625" style="2"/>
    <col min="5891" max="5891" width="5.42578125" style="2" customWidth="1"/>
    <col min="5892" max="5892" width="7" style="2" bestFit="1" customWidth="1"/>
    <col min="5893" max="5893" width="9.5703125" style="2" bestFit="1" customWidth="1"/>
    <col min="5894" max="5895" width="9.140625" style="2"/>
    <col min="5896" max="5896" width="28.5703125" style="2" customWidth="1"/>
    <col min="5897" max="5897" width="5.140625" style="2" customWidth="1"/>
    <col min="5898" max="5898" width="6.28515625" style="2" customWidth="1"/>
    <col min="5899" max="5899" width="8.28515625" style="2" bestFit="1" customWidth="1"/>
    <col min="5900" max="5900" width="9.140625" style="2" bestFit="1" customWidth="1"/>
    <col min="5901" max="5901" width="19.7109375" style="2" customWidth="1"/>
    <col min="5902" max="6146" width="9.140625" style="2"/>
    <col min="6147" max="6147" width="5.42578125" style="2" customWidth="1"/>
    <col min="6148" max="6148" width="7" style="2" bestFit="1" customWidth="1"/>
    <col min="6149" max="6149" width="9.5703125" style="2" bestFit="1" customWidth="1"/>
    <col min="6150" max="6151" width="9.140625" style="2"/>
    <col min="6152" max="6152" width="28.5703125" style="2" customWidth="1"/>
    <col min="6153" max="6153" width="5.140625" style="2" customWidth="1"/>
    <col min="6154" max="6154" width="6.28515625" style="2" customWidth="1"/>
    <col min="6155" max="6155" width="8.28515625" style="2" bestFit="1" customWidth="1"/>
    <col min="6156" max="6156" width="9.140625" style="2" bestFit="1" customWidth="1"/>
    <col min="6157" max="6157" width="19.7109375" style="2" customWidth="1"/>
    <col min="6158" max="6402" width="9.140625" style="2"/>
    <col min="6403" max="6403" width="5.42578125" style="2" customWidth="1"/>
    <col min="6404" max="6404" width="7" style="2" bestFit="1" customWidth="1"/>
    <col min="6405" max="6405" width="9.5703125" style="2" bestFit="1" customWidth="1"/>
    <col min="6406" max="6407" width="9.140625" style="2"/>
    <col min="6408" max="6408" width="28.5703125" style="2" customWidth="1"/>
    <col min="6409" max="6409" width="5.140625" style="2" customWidth="1"/>
    <col min="6410" max="6410" width="6.28515625" style="2" customWidth="1"/>
    <col min="6411" max="6411" width="8.28515625" style="2" bestFit="1" customWidth="1"/>
    <col min="6412" max="6412" width="9.140625" style="2" bestFit="1" customWidth="1"/>
    <col min="6413" max="6413" width="19.7109375" style="2" customWidth="1"/>
    <col min="6414" max="6658" width="9.140625" style="2"/>
    <col min="6659" max="6659" width="5.42578125" style="2" customWidth="1"/>
    <col min="6660" max="6660" width="7" style="2" bestFit="1" customWidth="1"/>
    <col min="6661" max="6661" width="9.5703125" style="2" bestFit="1" customWidth="1"/>
    <col min="6662" max="6663" width="9.140625" style="2"/>
    <col min="6664" max="6664" width="28.5703125" style="2" customWidth="1"/>
    <col min="6665" max="6665" width="5.140625" style="2" customWidth="1"/>
    <col min="6666" max="6666" width="6.28515625" style="2" customWidth="1"/>
    <col min="6667" max="6667" width="8.28515625" style="2" bestFit="1" customWidth="1"/>
    <col min="6668" max="6668" width="9.140625" style="2" bestFit="1" customWidth="1"/>
    <col min="6669" max="6669" width="19.7109375" style="2" customWidth="1"/>
    <col min="6670" max="6914" width="9.140625" style="2"/>
    <col min="6915" max="6915" width="5.42578125" style="2" customWidth="1"/>
    <col min="6916" max="6916" width="7" style="2" bestFit="1" customWidth="1"/>
    <col min="6917" max="6917" width="9.5703125" style="2" bestFit="1" customWidth="1"/>
    <col min="6918" max="6919" width="9.140625" style="2"/>
    <col min="6920" max="6920" width="28.5703125" style="2" customWidth="1"/>
    <col min="6921" max="6921" width="5.140625" style="2" customWidth="1"/>
    <col min="6922" max="6922" width="6.28515625" style="2" customWidth="1"/>
    <col min="6923" max="6923" width="8.28515625" style="2" bestFit="1" customWidth="1"/>
    <col min="6924" max="6924" width="9.140625" style="2" bestFit="1" customWidth="1"/>
    <col min="6925" max="6925" width="19.7109375" style="2" customWidth="1"/>
    <col min="6926" max="7170" width="9.140625" style="2"/>
    <col min="7171" max="7171" width="5.42578125" style="2" customWidth="1"/>
    <col min="7172" max="7172" width="7" style="2" bestFit="1" customWidth="1"/>
    <col min="7173" max="7173" width="9.5703125" style="2" bestFit="1" customWidth="1"/>
    <col min="7174" max="7175" width="9.140625" style="2"/>
    <col min="7176" max="7176" width="28.5703125" style="2" customWidth="1"/>
    <col min="7177" max="7177" width="5.140625" style="2" customWidth="1"/>
    <col min="7178" max="7178" width="6.28515625" style="2" customWidth="1"/>
    <col min="7179" max="7179" width="8.28515625" style="2" bestFit="1" customWidth="1"/>
    <col min="7180" max="7180" width="9.140625" style="2" bestFit="1" customWidth="1"/>
    <col min="7181" max="7181" width="19.7109375" style="2" customWidth="1"/>
    <col min="7182" max="7426" width="9.140625" style="2"/>
    <col min="7427" max="7427" width="5.42578125" style="2" customWidth="1"/>
    <col min="7428" max="7428" width="7" style="2" bestFit="1" customWidth="1"/>
    <col min="7429" max="7429" width="9.5703125" style="2" bestFit="1" customWidth="1"/>
    <col min="7430" max="7431" width="9.140625" style="2"/>
    <col min="7432" max="7432" width="28.5703125" style="2" customWidth="1"/>
    <col min="7433" max="7433" width="5.140625" style="2" customWidth="1"/>
    <col min="7434" max="7434" width="6.28515625" style="2" customWidth="1"/>
    <col min="7435" max="7435" width="8.28515625" style="2" bestFit="1" customWidth="1"/>
    <col min="7436" max="7436" width="9.140625" style="2" bestFit="1" customWidth="1"/>
    <col min="7437" max="7437" width="19.7109375" style="2" customWidth="1"/>
    <col min="7438" max="7682" width="9.140625" style="2"/>
    <col min="7683" max="7683" width="5.42578125" style="2" customWidth="1"/>
    <col min="7684" max="7684" width="7" style="2" bestFit="1" customWidth="1"/>
    <col min="7685" max="7685" width="9.5703125" style="2" bestFit="1" customWidth="1"/>
    <col min="7686" max="7687" width="9.140625" style="2"/>
    <col min="7688" max="7688" width="28.5703125" style="2" customWidth="1"/>
    <col min="7689" max="7689" width="5.140625" style="2" customWidth="1"/>
    <col min="7690" max="7690" width="6.28515625" style="2" customWidth="1"/>
    <col min="7691" max="7691" width="8.28515625" style="2" bestFit="1" customWidth="1"/>
    <col min="7692" max="7692" width="9.140625" style="2" bestFit="1" customWidth="1"/>
    <col min="7693" max="7693" width="19.7109375" style="2" customWidth="1"/>
    <col min="7694" max="7938" width="9.140625" style="2"/>
    <col min="7939" max="7939" width="5.42578125" style="2" customWidth="1"/>
    <col min="7940" max="7940" width="7" style="2" bestFit="1" customWidth="1"/>
    <col min="7941" max="7941" width="9.5703125" style="2" bestFit="1" customWidth="1"/>
    <col min="7942" max="7943" width="9.140625" style="2"/>
    <col min="7944" max="7944" width="28.5703125" style="2" customWidth="1"/>
    <col min="7945" max="7945" width="5.140625" style="2" customWidth="1"/>
    <col min="7946" max="7946" width="6.28515625" style="2" customWidth="1"/>
    <col min="7947" max="7947" width="8.28515625" style="2" bestFit="1" customWidth="1"/>
    <col min="7948" max="7948" width="9.140625" style="2" bestFit="1" customWidth="1"/>
    <col min="7949" max="7949" width="19.7109375" style="2" customWidth="1"/>
    <col min="7950" max="8194" width="9.140625" style="2"/>
    <col min="8195" max="8195" width="5.42578125" style="2" customWidth="1"/>
    <col min="8196" max="8196" width="7" style="2" bestFit="1" customWidth="1"/>
    <col min="8197" max="8197" width="9.5703125" style="2" bestFit="1" customWidth="1"/>
    <col min="8198" max="8199" width="9.140625" style="2"/>
    <col min="8200" max="8200" width="28.5703125" style="2" customWidth="1"/>
    <col min="8201" max="8201" width="5.140625" style="2" customWidth="1"/>
    <col min="8202" max="8202" width="6.28515625" style="2" customWidth="1"/>
    <col min="8203" max="8203" width="8.28515625" style="2" bestFit="1" customWidth="1"/>
    <col min="8204" max="8204" width="9.140625" style="2" bestFit="1" customWidth="1"/>
    <col min="8205" max="8205" width="19.7109375" style="2" customWidth="1"/>
    <col min="8206" max="8450" width="9.140625" style="2"/>
    <col min="8451" max="8451" width="5.42578125" style="2" customWidth="1"/>
    <col min="8452" max="8452" width="7" style="2" bestFit="1" customWidth="1"/>
    <col min="8453" max="8453" width="9.5703125" style="2" bestFit="1" customWidth="1"/>
    <col min="8454" max="8455" width="9.140625" style="2"/>
    <col min="8456" max="8456" width="28.5703125" style="2" customWidth="1"/>
    <col min="8457" max="8457" width="5.140625" style="2" customWidth="1"/>
    <col min="8458" max="8458" width="6.28515625" style="2" customWidth="1"/>
    <col min="8459" max="8459" width="8.28515625" style="2" bestFit="1" customWidth="1"/>
    <col min="8460" max="8460" width="9.140625" style="2" bestFit="1" customWidth="1"/>
    <col min="8461" max="8461" width="19.7109375" style="2" customWidth="1"/>
    <col min="8462" max="8706" width="9.140625" style="2"/>
    <col min="8707" max="8707" width="5.42578125" style="2" customWidth="1"/>
    <col min="8708" max="8708" width="7" style="2" bestFit="1" customWidth="1"/>
    <col min="8709" max="8709" width="9.5703125" style="2" bestFit="1" customWidth="1"/>
    <col min="8710" max="8711" width="9.140625" style="2"/>
    <col min="8712" max="8712" width="28.5703125" style="2" customWidth="1"/>
    <col min="8713" max="8713" width="5.140625" style="2" customWidth="1"/>
    <col min="8714" max="8714" width="6.28515625" style="2" customWidth="1"/>
    <col min="8715" max="8715" width="8.28515625" style="2" bestFit="1" customWidth="1"/>
    <col min="8716" max="8716" width="9.140625" style="2" bestFit="1" customWidth="1"/>
    <col min="8717" max="8717" width="19.7109375" style="2" customWidth="1"/>
    <col min="8718" max="8962" width="9.140625" style="2"/>
    <col min="8963" max="8963" width="5.42578125" style="2" customWidth="1"/>
    <col min="8964" max="8964" width="7" style="2" bestFit="1" customWidth="1"/>
    <col min="8965" max="8965" width="9.5703125" style="2" bestFit="1" customWidth="1"/>
    <col min="8966" max="8967" width="9.140625" style="2"/>
    <col min="8968" max="8968" width="28.5703125" style="2" customWidth="1"/>
    <col min="8969" max="8969" width="5.140625" style="2" customWidth="1"/>
    <col min="8970" max="8970" width="6.28515625" style="2" customWidth="1"/>
    <col min="8971" max="8971" width="8.28515625" style="2" bestFit="1" customWidth="1"/>
    <col min="8972" max="8972" width="9.140625" style="2" bestFit="1" customWidth="1"/>
    <col min="8973" max="8973" width="19.7109375" style="2" customWidth="1"/>
    <col min="8974" max="9218" width="9.140625" style="2"/>
    <col min="9219" max="9219" width="5.42578125" style="2" customWidth="1"/>
    <col min="9220" max="9220" width="7" style="2" bestFit="1" customWidth="1"/>
    <col min="9221" max="9221" width="9.5703125" style="2" bestFit="1" customWidth="1"/>
    <col min="9222" max="9223" width="9.140625" style="2"/>
    <col min="9224" max="9224" width="28.5703125" style="2" customWidth="1"/>
    <col min="9225" max="9225" width="5.140625" style="2" customWidth="1"/>
    <col min="9226" max="9226" width="6.28515625" style="2" customWidth="1"/>
    <col min="9227" max="9227" width="8.28515625" style="2" bestFit="1" customWidth="1"/>
    <col min="9228" max="9228" width="9.140625" style="2" bestFit="1" customWidth="1"/>
    <col min="9229" max="9229" width="19.7109375" style="2" customWidth="1"/>
    <col min="9230" max="9474" width="9.140625" style="2"/>
    <col min="9475" max="9475" width="5.42578125" style="2" customWidth="1"/>
    <col min="9476" max="9476" width="7" style="2" bestFit="1" customWidth="1"/>
    <col min="9477" max="9477" width="9.5703125" style="2" bestFit="1" customWidth="1"/>
    <col min="9478" max="9479" width="9.140625" style="2"/>
    <col min="9480" max="9480" width="28.5703125" style="2" customWidth="1"/>
    <col min="9481" max="9481" width="5.140625" style="2" customWidth="1"/>
    <col min="9482" max="9482" width="6.28515625" style="2" customWidth="1"/>
    <col min="9483" max="9483" width="8.28515625" style="2" bestFit="1" customWidth="1"/>
    <col min="9484" max="9484" width="9.140625" style="2" bestFit="1" customWidth="1"/>
    <col min="9485" max="9485" width="19.7109375" style="2" customWidth="1"/>
    <col min="9486" max="9730" width="9.140625" style="2"/>
    <col min="9731" max="9731" width="5.42578125" style="2" customWidth="1"/>
    <col min="9732" max="9732" width="7" style="2" bestFit="1" customWidth="1"/>
    <col min="9733" max="9733" width="9.5703125" style="2" bestFit="1" customWidth="1"/>
    <col min="9734" max="9735" width="9.140625" style="2"/>
    <col min="9736" max="9736" width="28.5703125" style="2" customWidth="1"/>
    <col min="9737" max="9737" width="5.140625" style="2" customWidth="1"/>
    <col min="9738" max="9738" width="6.28515625" style="2" customWidth="1"/>
    <col min="9739" max="9739" width="8.28515625" style="2" bestFit="1" customWidth="1"/>
    <col min="9740" max="9740" width="9.140625" style="2" bestFit="1" customWidth="1"/>
    <col min="9741" max="9741" width="19.7109375" style="2" customWidth="1"/>
    <col min="9742" max="9986" width="9.140625" style="2"/>
    <col min="9987" max="9987" width="5.42578125" style="2" customWidth="1"/>
    <col min="9988" max="9988" width="7" style="2" bestFit="1" customWidth="1"/>
    <col min="9989" max="9989" width="9.5703125" style="2" bestFit="1" customWidth="1"/>
    <col min="9990" max="9991" width="9.140625" style="2"/>
    <col min="9992" max="9992" width="28.5703125" style="2" customWidth="1"/>
    <col min="9993" max="9993" width="5.140625" style="2" customWidth="1"/>
    <col min="9994" max="9994" width="6.28515625" style="2" customWidth="1"/>
    <col min="9995" max="9995" width="8.28515625" style="2" bestFit="1" customWidth="1"/>
    <col min="9996" max="9996" width="9.140625" style="2" bestFit="1" customWidth="1"/>
    <col min="9997" max="9997" width="19.7109375" style="2" customWidth="1"/>
    <col min="9998" max="10242" width="9.140625" style="2"/>
    <col min="10243" max="10243" width="5.42578125" style="2" customWidth="1"/>
    <col min="10244" max="10244" width="7" style="2" bestFit="1" customWidth="1"/>
    <col min="10245" max="10245" width="9.5703125" style="2" bestFit="1" customWidth="1"/>
    <col min="10246" max="10247" width="9.140625" style="2"/>
    <col min="10248" max="10248" width="28.5703125" style="2" customWidth="1"/>
    <col min="10249" max="10249" width="5.140625" style="2" customWidth="1"/>
    <col min="10250" max="10250" width="6.28515625" style="2" customWidth="1"/>
    <col min="10251" max="10251" width="8.28515625" style="2" bestFit="1" customWidth="1"/>
    <col min="10252" max="10252" width="9.140625" style="2" bestFit="1" customWidth="1"/>
    <col min="10253" max="10253" width="19.7109375" style="2" customWidth="1"/>
    <col min="10254" max="10498" width="9.140625" style="2"/>
    <col min="10499" max="10499" width="5.42578125" style="2" customWidth="1"/>
    <col min="10500" max="10500" width="7" style="2" bestFit="1" customWidth="1"/>
    <col min="10501" max="10501" width="9.5703125" style="2" bestFit="1" customWidth="1"/>
    <col min="10502" max="10503" width="9.140625" style="2"/>
    <col min="10504" max="10504" width="28.5703125" style="2" customWidth="1"/>
    <col min="10505" max="10505" width="5.140625" style="2" customWidth="1"/>
    <col min="10506" max="10506" width="6.28515625" style="2" customWidth="1"/>
    <col min="10507" max="10507" width="8.28515625" style="2" bestFit="1" customWidth="1"/>
    <col min="10508" max="10508" width="9.140625" style="2" bestFit="1" customWidth="1"/>
    <col min="10509" max="10509" width="19.7109375" style="2" customWidth="1"/>
    <col min="10510" max="10754" width="9.140625" style="2"/>
    <col min="10755" max="10755" width="5.42578125" style="2" customWidth="1"/>
    <col min="10756" max="10756" width="7" style="2" bestFit="1" customWidth="1"/>
    <col min="10757" max="10757" width="9.5703125" style="2" bestFit="1" customWidth="1"/>
    <col min="10758" max="10759" width="9.140625" style="2"/>
    <col min="10760" max="10760" width="28.5703125" style="2" customWidth="1"/>
    <col min="10761" max="10761" width="5.140625" style="2" customWidth="1"/>
    <col min="10762" max="10762" width="6.28515625" style="2" customWidth="1"/>
    <col min="10763" max="10763" width="8.28515625" style="2" bestFit="1" customWidth="1"/>
    <col min="10764" max="10764" width="9.140625" style="2" bestFit="1" customWidth="1"/>
    <col min="10765" max="10765" width="19.7109375" style="2" customWidth="1"/>
    <col min="10766" max="11010" width="9.140625" style="2"/>
    <col min="11011" max="11011" width="5.42578125" style="2" customWidth="1"/>
    <col min="11012" max="11012" width="7" style="2" bestFit="1" customWidth="1"/>
    <col min="11013" max="11013" width="9.5703125" style="2" bestFit="1" customWidth="1"/>
    <col min="11014" max="11015" width="9.140625" style="2"/>
    <col min="11016" max="11016" width="28.5703125" style="2" customWidth="1"/>
    <col min="11017" max="11017" width="5.140625" style="2" customWidth="1"/>
    <col min="11018" max="11018" width="6.28515625" style="2" customWidth="1"/>
    <col min="11019" max="11019" width="8.28515625" style="2" bestFit="1" customWidth="1"/>
    <col min="11020" max="11020" width="9.140625" style="2" bestFit="1" customWidth="1"/>
    <col min="11021" max="11021" width="19.7109375" style="2" customWidth="1"/>
    <col min="11022" max="11266" width="9.140625" style="2"/>
    <col min="11267" max="11267" width="5.42578125" style="2" customWidth="1"/>
    <col min="11268" max="11268" width="7" style="2" bestFit="1" customWidth="1"/>
    <col min="11269" max="11269" width="9.5703125" style="2" bestFit="1" customWidth="1"/>
    <col min="11270" max="11271" width="9.140625" style="2"/>
    <col min="11272" max="11272" width="28.5703125" style="2" customWidth="1"/>
    <col min="11273" max="11273" width="5.140625" style="2" customWidth="1"/>
    <col min="11274" max="11274" width="6.28515625" style="2" customWidth="1"/>
    <col min="11275" max="11275" width="8.28515625" style="2" bestFit="1" customWidth="1"/>
    <col min="11276" max="11276" width="9.140625" style="2" bestFit="1" customWidth="1"/>
    <col min="11277" max="11277" width="19.7109375" style="2" customWidth="1"/>
    <col min="11278" max="11522" width="9.140625" style="2"/>
    <col min="11523" max="11523" width="5.42578125" style="2" customWidth="1"/>
    <col min="11524" max="11524" width="7" style="2" bestFit="1" customWidth="1"/>
    <col min="11525" max="11525" width="9.5703125" style="2" bestFit="1" customWidth="1"/>
    <col min="11526" max="11527" width="9.140625" style="2"/>
    <col min="11528" max="11528" width="28.5703125" style="2" customWidth="1"/>
    <col min="11529" max="11529" width="5.140625" style="2" customWidth="1"/>
    <col min="11530" max="11530" width="6.28515625" style="2" customWidth="1"/>
    <col min="11531" max="11531" width="8.28515625" style="2" bestFit="1" customWidth="1"/>
    <col min="11532" max="11532" width="9.140625" style="2" bestFit="1" customWidth="1"/>
    <col min="11533" max="11533" width="19.7109375" style="2" customWidth="1"/>
    <col min="11534" max="11778" width="9.140625" style="2"/>
    <col min="11779" max="11779" width="5.42578125" style="2" customWidth="1"/>
    <col min="11780" max="11780" width="7" style="2" bestFit="1" customWidth="1"/>
    <col min="11781" max="11781" width="9.5703125" style="2" bestFit="1" customWidth="1"/>
    <col min="11782" max="11783" width="9.140625" style="2"/>
    <col min="11784" max="11784" width="28.5703125" style="2" customWidth="1"/>
    <col min="11785" max="11785" width="5.140625" style="2" customWidth="1"/>
    <col min="11786" max="11786" width="6.28515625" style="2" customWidth="1"/>
    <col min="11787" max="11787" width="8.28515625" style="2" bestFit="1" customWidth="1"/>
    <col min="11788" max="11788" width="9.140625" style="2" bestFit="1" customWidth="1"/>
    <col min="11789" max="11789" width="19.7109375" style="2" customWidth="1"/>
    <col min="11790" max="12034" width="9.140625" style="2"/>
    <col min="12035" max="12035" width="5.42578125" style="2" customWidth="1"/>
    <col min="12036" max="12036" width="7" style="2" bestFit="1" customWidth="1"/>
    <col min="12037" max="12037" width="9.5703125" style="2" bestFit="1" customWidth="1"/>
    <col min="12038" max="12039" width="9.140625" style="2"/>
    <col min="12040" max="12040" width="28.5703125" style="2" customWidth="1"/>
    <col min="12041" max="12041" width="5.140625" style="2" customWidth="1"/>
    <col min="12042" max="12042" width="6.28515625" style="2" customWidth="1"/>
    <col min="12043" max="12043" width="8.28515625" style="2" bestFit="1" customWidth="1"/>
    <col min="12044" max="12044" width="9.140625" style="2" bestFit="1" customWidth="1"/>
    <col min="12045" max="12045" width="19.7109375" style="2" customWidth="1"/>
    <col min="12046" max="12290" width="9.140625" style="2"/>
    <col min="12291" max="12291" width="5.42578125" style="2" customWidth="1"/>
    <col min="12292" max="12292" width="7" style="2" bestFit="1" customWidth="1"/>
    <col min="12293" max="12293" width="9.5703125" style="2" bestFit="1" customWidth="1"/>
    <col min="12294" max="12295" width="9.140625" style="2"/>
    <col min="12296" max="12296" width="28.5703125" style="2" customWidth="1"/>
    <col min="12297" max="12297" width="5.140625" style="2" customWidth="1"/>
    <col min="12298" max="12298" width="6.28515625" style="2" customWidth="1"/>
    <col min="12299" max="12299" width="8.28515625" style="2" bestFit="1" customWidth="1"/>
    <col min="12300" max="12300" width="9.140625" style="2" bestFit="1" customWidth="1"/>
    <col min="12301" max="12301" width="19.7109375" style="2" customWidth="1"/>
    <col min="12302" max="12546" width="9.140625" style="2"/>
    <col min="12547" max="12547" width="5.42578125" style="2" customWidth="1"/>
    <col min="12548" max="12548" width="7" style="2" bestFit="1" customWidth="1"/>
    <col min="12549" max="12549" width="9.5703125" style="2" bestFit="1" customWidth="1"/>
    <col min="12550" max="12551" width="9.140625" style="2"/>
    <col min="12552" max="12552" width="28.5703125" style="2" customWidth="1"/>
    <col min="12553" max="12553" width="5.140625" style="2" customWidth="1"/>
    <col min="12554" max="12554" width="6.28515625" style="2" customWidth="1"/>
    <col min="12555" max="12555" width="8.28515625" style="2" bestFit="1" customWidth="1"/>
    <col min="12556" max="12556" width="9.140625" style="2" bestFit="1" customWidth="1"/>
    <col min="12557" max="12557" width="19.7109375" style="2" customWidth="1"/>
    <col min="12558" max="12802" width="9.140625" style="2"/>
    <col min="12803" max="12803" width="5.42578125" style="2" customWidth="1"/>
    <col min="12804" max="12804" width="7" style="2" bestFit="1" customWidth="1"/>
    <col min="12805" max="12805" width="9.5703125" style="2" bestFit="1" customWidth="1"/>
    <col min="12806" max="12807" width="9.140625" style="2"/>
    <col min="12808" max="12808" width="28.5703125" style="2" customWidth="1"/>
    <col min="12809" max="12809" width="5.140625" style="2" customWidth="1"/>
    <col min="12810" max="12810" width="6.28515625" style="2" customWidth="1"/>
    <col min="12811" max="12811" width="8.28515625" style="2" bestFit="1" customWidth="1"/>
    <col min="12812" max="12812" width="9.140625" style="2" bestFit="1" customWidth="1"/>
    <col min="12813" max="12813" width="19.7109375" style="2" customWidth="1"/>
    <col min="12814" max="13058" width="9.140625" style="2"/>
    <col min="13059" max="13059" width="5.42578125" style="2" customWidth="1"/>
    <col min="13060" max="13060" width="7" style="2" bestFit="1" customWidth="1"/>
    <col min="13061" max="13061" width="9.5703125" style="2" bestFit="1" customWidth="1"/>
    <col min="13062" max="13063" width="9.140625" style="2"/>
    <col min="13064" max="13064" width="28.5703125" style="2" customWidth="1"/>
    <col min="13065" max="13065" width="5.140625" style="2" customWidth="1"/>
    <col min="13066" max="13066" width="6.28515625" style="2" customWidth="1"/>
    <col min="13067" max="13067" width="8.28515625" style="2" bestFit="1" customWidth="1"/>
    <col min="13068" max="13068" width="9.140625" style="2" bestFit="1" customWidth="1"/>
    <col min="13069" max="13069" width="19.7109375" style="2" customWidth="1"/>
    <col min="13070" max="13314" width="9.140625" style="2"/>
    <col min="13315" max="13315" width="5.42578125" style="2" customWidth="1"/>
    <col min="13316" max="13316" width="7" style="2" bestFit="1" customWidth="1"/>
    <col min="13317" max="13317" width="9.5703125" style="2" bestFit="1" customWidth="1"/>
    <col min="13318" max="13319" width="9.140625" style="2"/>
    <col min="13320" max="13320" width="28.5703125" style="2" customWidth="1"/>
    <col min="13321" max="13321" width="5.140625" style="2" customWidth="1"/>
    <col min="13322" max="13322" width="6.28515625" style="2" customWidth="1"/>
    <col min="13323" max="13323" width="8.28515625" style="2" bestFit="1" customWidth="1"/>
    <col min="13324" max="13324" width="9.140625" style="2" bestFit="1" customWidth="1"/>
    <col min="13325" max="13325" width="19.7109375" style="2" customWidth="1"/>
    <col min="13326" max="13570" width="9.140625" style="2"/>
    <col min="13571" max="13571" width="5.42578125" style="2" customWidth="1"/>
    <col min="13572" max="13572" width="7" style="2" bestFit="1" customWidth="1"/>
    <col min="13573" max="13573" width="9.5703125" style="2" bestFit="1" customWidth="1"/>
    <col min="13574" max="13575" width="9.140625" style="2"/>
    <col min="13576" max="13576" width="28.5703125" style="2" customWidth="1"/>
    <col min="13577" max="13577" width="5.140625" style="2" customWidth="1"/>
    <col min="13578" max="13578" width="6.28515625" style="2" customWidth="1"/>
    <col min="13579" max="13579" width="8.28515625" style="2" bestFit="1" customWidth="1"/>
    <col min="13580" max="13580" width="9.140625" style="2" bestFit="1" customWidth="1"/>
    <col min="13581" max="13581" width="19.7109375" style="2" customWidth="1"/>
    <col min="13582" max="13826" width="9.140625" style="2"/>
    <col min="13827" max="13827" width="5.42578125" style="2" customWidth="1"/>
    <col min="13828" max="13828" width="7" style="2" bestFit="1" customWidth="1"/>
    <col min="13829" max="13829" width="9.5703125" style="2" bestFit="1" customWidth="1"/>
    <col min="13830" max="13831" width="9.140625" style="2"/>
    <col min="13832" max="13832" width="28.5703125" style="2" customWidth="1"/>
    <col min="13833" max="13833" width="5.140625" style="2" customWidth="1"/>
    <col min="13834" max="13834" width="6.28515625" style="2" customWidth="1"/>
    <col min="13835" max="13835" width="8.28515625" style="2" bestFit="1" customWidth="1"/>
    <col min="13836" max="13836" width="9.140625" style="2" bestFit="1" customWidth="1"/>
    <col min="13837" max="13837" width="19.7109375" style="2" customWidth="1"/>
    <col min="13838" max="14082" width="9.140625" style="2"/>
    <col min="14083" max="14083" width="5.42578125" style="2" customWidth="1"/>
    <col min="14084" max="14084" width="7" style="2" bestFit="1" customWidth="1"/>
    <col min="14085" max="14085" width="9.5703125" style="2" bestFit="1" customWidth="1"/>
    <col min="14086" max="14087" width="9.140625" style="2"/>
    <col min="14088" max="14088" width="28.5703125" style="2" customWidth="1"/>
    <col min="14089" max="14089" width="5.140625" style="2" customWidth="1"/>
    <col min="14090" max="14090" width="6.28515625" style="2" customWidth="1"/>
    <col min="14091" max="14091" width="8.28515625" style="2" bestFit="1" customWidth="1"/>
    <col min="14092" max="14092" width="9.140625" style="2" bestFit="1" customWidth="1"/>
    <col min="14093" max="14093" width="19.7109375" style="2" customWidth="1"/>
    <col min="14094" max="14338" width="9.140625" style="2"/>
    <col min="14339" max="14339" width="5.42578125" style="2" customWidth="1"/>
    <col min="14340" max="14340" width="7" style="2" bestFit="1" customWidth="1"/>
    <col min="14341" max="14341" width="9.5703125" style="2" bestFit="1" customWidth="1"/>
    <col min="14342" max="14343" width="9.140625" style="2"/>
    <col min="14344" max="14344" width="28.5703125" style="2" customWidth="1"/>
    <col min="14345" max="14345" width="5.140625" style="2" customWidth="1"/>
    <col min="14346" max="14346" width="6.28515625" style="2" customWidth="1"/>
    <col min="14347" max="14347" width="8.28515625" style="2" bestFit="1" customWidth="1"/>
    <col min="14348" max="14348" width="9.140625" style="2" bestFit="1" customWidth="1"/>
    <col min="14349" max="14349" width="19.7109375" style="2" customWidth="1"/>
    <col min="14350" max="14594" width="9.140625" style="2"/>
    <col min="14595" max="14595" width="5.42578125" style="2" customWidth="1"/>
    <col min="14596" max="14596" width="7" style="2" bestFit="1" customWidth="1"/>
    <col min="14597" max="14597" width="9.5703125" style="2" bestFit="1" customWidth="1"/>
    <col min="14598" max="14599" width="9.140625" style="2"/>
    <col min="14600" max="14600" width="28.5703125" style="2" customWidth="1"/>
    <col min="14601" max="14601" width="5.140625" style="2" customWidth="1"/>
    <col min="14602" max="14602" width="6.28515625" style="2" customWidth="1"/>
    <col min="14603" max="14603" width="8.28515625" style="2" bestFit="1" customWidth="1"/>
    <col min="14604" max="14604" width="9.140625" style="2" bestFit="1" customWidth="1"/>
    <col min="14605" max="14605" width="19.7109375" style="2" customWidth="1"/>
    <col min="14606" max="14850" width="9.140625" style="2"/>
    <col min="14851" max="14851" width="5.42578125" style="2" customWidth="1"/>
    <col min="14852" max="14852" width="7" style="2" bestFit="1" customWidth="1"/>
    <col min="14853" max="14853" width="9.5703125" style="2" bestFit="1" customWidth="1"/>
    <col min="14854" max="14855" width="9.140625" style="2"/>
    <col min="14856" max="14856" width="28.5703125" style="2" customWidth="1"/>
    <col min="14857" max="14857" width="5.140625" style="2" customWidth="1"/>
    <col min="14858" max="14858" width="6.28515625" style="2" customWidth="1"/>
    <col min="14859" max="14859" width="8.28515625" style="2" bestFit="1" customWidth="1"/>
    <col min="14860" max="14860" width="9.140625" style="2" bestFit="1" customWidth="1"/>
    <col min="14861" max="14861" width="19.7109375" style="2" customWidth="1"/>
    <col min="14862" max="15106" width="9.140625" style="2"/>
    <col min="15107" max="15107" width="5.42578125" style="2" customWidth="1"/>
    <col min="15108" max="15108" width="7" style="2" bestFit="1" customWidth="1"/>
    <col min="15109" max="15109" width="9.5703125" style="2" bestFit="1" customWidth="1"/>
    <col min="15110" max="15111" width="9.140625" style="2"/>
    <col min="15112" max="15112" width="28.5703125" style="2" customWidth="1"/>
    <col min="15113" max="15113" width="5.140625" style="2" customWidth="1"/>
    <col min="15114" max="15114" width="6.28515625" style="2" customWidth="1"/>
    <col min="15115" max="15115" width="8.28515625" style="2" bestFit="1" customWidth="1"/>
    <col min="15116" max="15116" width="9.140625" style="2" bestFit="1" customWidth="1"/>
    <col min="15117" max="15117" width="19.7109375" style="2" customWidth="1"/>
    <col min="15118" max="15362" width="9.140625" style="2"/>
    <col min="15363" max="15363" width="5.42578125" style="2" customWidth="1"/>
    <col min="15364" max="15364" width="7" style="2" bestFit="1" customWidth="1"/>
    <col min="15365" max="15365" width="9.5703125" style="2" bestFit="1" customWidth="1"/>
    <col min="15366" max="15367" width="9.140625" style="2"/>
    <col min="15368" max="15368" width="28.5703125" style="2" customWidth="1"/>
    <col min="15369" max="15369" width="5.140625" style="2" customWidth="1"/>
    <col min="15370" max="15370" width="6.28515625" style="2" customWidth="1"/>
    <col min="15371" max="15371" width="8.28515625" style="2" bestFit="1" customWidth="1"/>
    <col min="15372" max="15372" width="9.140625" style="2" bestFit="1" customWidth="1"/>
    <col min="15373" max="15373" width="19.7109375" style="2" customWidth="1"/>
    <col min="15374" max="15618" width="9.140625" style="2"/>
    <col min="15619" max="15619" width="5.42578125" style="2" customWidth="1"/>
    <col min="15620" max="15620" width="7" style="2" bestFit="1" customWidth="1"/>
    <col min="15621" max="15621" width="9.5703125" style="2" bestFit="1" customWidth="1"/>
    <col min="15622" max="15623" width="9.140625" style="2"/>
    <col min="15624" max="15624" width="28.5703125" style="2" customWidth="1"/>
    <col min="15625" max="15625" width="5.140625" style="2" customWidth="1"/>
    <col min="15626" max="15626" width="6.28515625" style="2" customWidth="1"/>
    <col min="15627" max="15627" width="8.28515625" style="2" bestFit="1" customWidth="1"/>
    <col min="15628" max="15628" width="9.140625" style="2" bestFit="1" customWidth="1"/>
    <col min="15629" max="15629" width="19.7109375" style="2" customWidth="1"/>
    <col min="15630" max="15874" width="9.140625" style="2"/>
    <col min="15875" max="15875" width="5.42578125" style="2" customWidth="1"/>
    <col min="15876" max="15876" width="7" style="2" bestFit="1" customWidth="1"/>
    <col min="15877" max="15877" width="9.5703125" style="2" bestFit="1" customWidth="1"/>
    <col min="15878" max="15879" width="9.140625" style="2"/>
    <col min="15880" max="15880" width="28.5703125" style="2" customWidth="1"/>
    <col min="15881" max="15881" width="5.140625" style="2" customWidth="1"/>
    <col min="15882" max="15882" width="6.28515625" style="2" customWidth="1"/>
    <col min="15883" max="15883" width="8.28515625" style="2" bestFit="1" customWidth="1"/>
    <col min="15884" max="15884" width="9.140625" style="2" bestFit="1" customWidth="1"/>
    <col min="15885" max="15885" width="19.7109375" style="2" customWidth="1"/>
    <col min="15886" max="16130" width="9.140625" style="2"/>
    <col min="16131" max="16131" width="5.42578125" style="2" customWidth="1"/>
    <col min="16132" max="16132" width="7" style="2" bestFit="1" customWidth="1"/>
    <col min="16133" max="16133" width="9.5703125" style="2" bestFit="1" customWidth="1"/>
    <col min="16134" max="16135" width="9.140625" style="2"/>
    <col min="16136" max="16136" width="28.5703125" style="2" customWidth="1"/>
    <col min="16137" max="16137" width="5.140625" style="2" customWidth="1"/>
    <col min="16138" max="16138" width="6.28515625" style="2" customWidth="1"/>
    <col min="16139" max="16139" width="8.28515625" style="2" bestFit="1" customWidth="1"/>
    <col min="16140" max="16140" width="9.140625" style="2" bestFit="1" customWidth="1"/>
    <col min="16141" max="16141" width="19.7109375" style="2" customWidth="1"/>
    <col min="16142" max="16384" width="9.140625" style="2"/>
  </cols>
  <sheetData>
    <row r="1" spans="1:15" ht="20.25" customHeight="1">
      <c r="A1" s="354" t="s">
        <v>34</v>
      </c>
      <c r="B1" s="355"/>
      <c r="C1" s="355"/>
      <c r="D1" s="355"/>
      <c r="E1" s="355"/>
      <c r="F1" s="355"/>
      <c r="G1" s="18"/>
      <c r="H1" s="18"/>
      <c r="I1" s="356" t="s">
        <v>35</v>
      </c>
      <c r="J1" s="356"/>
      <c r="K1" s="356"/>
      <c r="L1" s="357"/>
    </row>
    <row r="2" spans="1:15" s="5" customFormat="1" ht="18" customHeight="1">
      <c r="A2" s="3" t="s">
        <v>0</v>
      </c>
      <c r="B2" s="19" t="s">
        <v>25</v>
      </c>
      <c r="C2" s="19" t="s">
        <v>1</v>
      </c>
      <c r="D2" s="358" t="s">
        <v>2</v>
      </c>
      <c r="E2" s="358"/>
      <c r="F2" s="358"/>
      <c r="G2" s="19" t="s">
        <v>27</v>
      </c>
      <c r="H2" s="19" t="s">
        <v>3</v>
      </c>
      <c r="I2" s="19" t="s">
        <v>4</v>
      </c>
      <c r="J2" s="19" t="s">
        <v>5</v>
      </c>
      <c r="K2" s="19" t="s">
        <v>26</v>
      </c>
      <c r="L2" s="4" t="s">
        <v>6</v>
      </c>
      <c r="N2" s="5" t="s">
        <v>24</v>
      </c>
      <c r="O2" s="5" t="s">
        <v>23</v>
      </c>
    </row>
    <row r="3" spans="1:15" ht="63.75" customHeight="1">
      <c r="A3" s="6">
        <v>1</v>
      </c>
      <c r="B3" s="20">
        <v>8516</v>
      </c>
      <c r="C3" s="21" t="s">
        <v>30</v>
      </c>
      <c r="D3" s="359" t="s">
        <v>33</v>
      </c>
      <c r="E3" s="360"/>
      <c r="F3" s="361"/>
      <c r="G3" s="17">
        <v>0.18</v>
      </c>
      <c r="H3" s="17" t="s">
        <v>28</v>
      </c>
      <c r="I3" s="10">
        <v>4</v>
      </c>
      <c r="J3" s="16">
        <v>18000</v>
      </c>
      <c r="K3" s="15">
        <f>J3*G3</f>
        <v>3240</v>
      </c>
      <c r="L3" s="22">
        <f>I3*(J3+K3)</f>
        <v>84960</v>
      </c>
      <c r="M3" s="12"/>
      <c r="N3" s="13">
        <v>4200</v>
      </c>
      <c r="O3" s="14"/>
    </row>
    <row r="4" spans="1:15" ht="63.75" customHeight="1">
      <c r="A4" s="6">
        <v>2</v>
      </c>
      <c r="B4" s="20">
        <v>8516</v>
      </c>
      <c r="C4" s="21" t="s">
        <v>31</v>
      </c>
      <c r="D4" s="359" t="s">
        <v>32</v>
      </c>
      <c r="E4" s="360"/>
      <c r="F4" s="361"/>
      <c r="G4" s="17">
        <v>0.18</v>
      </c>
      <c r="H4" s="17" t="s">
        <v>28</v>
      </c>
      <c r="I4" s="10">
        <v>120</v>
      </c>
      <c r="J4" s="16">
        <v>5500</v>
      </c>
      <c r="K4" s="15">
        <f>J4*G4</f>
        <v>990</v>
      </c>
      <c r="L4" s="22">
        <f>I4*(J4+K4)</f>
        <v>778800</v>
      </c>
      <c r="M4" s="12"/>
      <c r="N4" s="13">
        <v>4200</v>
      </c>
      <c r="O4" s="14"/>
    </row>
    <row r="5" spans="1:15" s="1" customFormat="1">
      <c r="A5" s="11" t="s">
        <v>29</v>
      </c>
      <c r="B5" s="362"/>
      <c r="C5" s="362"/>
      <c r="D5" s="362"/>
      <c r="E5" s="362"/>
      <c r="F5" s="362"/>
      <c r="G5" s="362"/>
      <c r="H5" s="362"/>
      <c r="I5" s="362"/>
      <c r="J5" s="362"/>
      <c r="K5" s="362"/>
      <c r="L5" s="363"/>
    </row>
    <row r="6" spans="1:15" s="1" customFormat="1">
      <c r="A6" s="364" t="s">
        <v>7</v>
      </c>
      <c r="B6" s="365"/>
      <c r="C6" s="365"/>
      <c r="D6" s="365"/>
      <c r="E6" s="365"/>
      <c r="F6" s="365"/>
      <c r="G6" s="365"/>
      <c r="H6" s="365"/>
      <c r="I6" s="365"/>
      <c r="J6" s="365"/>
      <c r="K6" s="365"/>
      <c r="L6" s="366"/>
    </row>
    <row r="7" spans="1:15" s="1" customFormat="1">
      <c r="A7" s="8">
        <v>1</v>
      </c>
      <c r="B7" s="367" t="s">
        <v>8</v>
      </c>
      <c r="C7" s="367"/>
      <c r="D7" s="2" t="s">
        <v>9</v>
      </c>
      <c r="E7" s="367" t="s">
        <v>21</v>
      </c>
      <c r="F7" s="367"/>
      <c r="G7" s="367"/>
      <c r="H7" s="367"/>
      <c r="I7" s="367"/>
      <c r="J7" s="367"/>
      <c r="K7" s="367"/>
      <c r="L7" s="368"/>
    </row>
    <row r="8" spans="1:15" s="1" customFormat="1">
      <c r="A8" s="8">
        <v>2</v>
      </c>
      <c r="B8" s="367" t="s">
        <v>10</v>
      </c>
      <c r="C8" s="367"/>
      <c r="D8" s="7">
        <v>8</v>
      </c>
      <c r="E8" s="367" t="s">
        <v>11</v>
      </c>
      <c r="F8" s="367"/>
      <c r="G8" s="367"/>
      <c r="H8" s="367"/>
      <c r="I8" s="367"/>
      <c r="J8" s="367"/>
      <c r="K8" s="367"/>
      <c r="L8" s="368"/>
    </row>
    <row r="9" spans="1:15" s="1" customFormat="1">
      <c r="A9" s="8">
        <v>3</v>
      </c>
      <c r="B9" s="367" t="s">
        <v>12</v>
      </c>
      <c r="C9" s="367"/>
      <c r="D9" s="2"/>
      <c r="E9" s="367" t="s">
        <v>13</v>
      </c>
      <c r="F9" s="367"/>
      <c r="G9" s="367"/>
      <c r="H9" s="367"/>
      <c r="I9" s="367"/>
      <c r="J9" s="367"/>
      <c r="K9" s="367"/>
      <c r="L9" s="368"/>
    </row>
    <row r="10" spans="1:15" s="1" customFormat="1">
      <c r="A10" s="8">
        <v>4</v>
      </c>
      <c r="B10" s="367" t="s">
        <v>14</v>
      </c>
      <c r="C10" s="367"/>
      <c r="D10" s="2"/>
      <c r="E10" s="367" t="s">
        <v>15</v>
      </c>
      <c r="F10" s="367"/>
      <c r="G10" s="367"/>
      <c r="H10" s="367"/>
      <c r="I10" s="367"/>
      <c r="J10" s="367"/>
      <c r="K10" s="367"/>
      <c r="L10" s="368"/>
    </row>
    <row r="11" spans="1:15" s="1" customFormat="1">
      <c r="A11" s="8">
        <v>5</v>
      </c>
      <c r="B11" s="367" t="s">
        <v>16</v>
      </c>
      <c r="C11" s="367"/>
      <c r="D11" s="2"/>
      <c r="E11" s="367" t="s">
        <v>22</v>
      </c>
      <c r="F11" s="367"/>
      <c r="G11" s="367"/>
      <c r="H11" s="367"/>
      <c r="I11" s="367"/>
      <c r="J11" s="367"/>
      <c r="K11" s="367"/>
      <c r="L11" s="368"/>
    </row>
    <row r="12" spans="1:15" s="1" customFormat="1">
      <c r="A12" s="8">
        <v>6</v>
      </c>
      <c r="B12" s="367" t="s">
        <v>17</v>
      </c>
      <c r="C12" s="367"/>
      <c r="D12" s="7" t="s">
        <v>18</v>
      </c>
      <c r="E12" s="369" t="e">
        <f>#REF!+30</f>
        <v>#REF!</v>
      </c>
      <c r="F12" s="367"/>
      <c r="G12" s="367"/>
      <c r="H12" s="367"/>
      <c r="I12" s="367"/>
      <c r="J12" s="367"/>
      <c r="K12" s="367"/>
      <c r="L12" s="368"/>
    </row>
    <row r="13" spans="1:15" s="1" customFormat="1">
      <c r="A13" s="8">
        <v>7</v>
      </c>
      <c r="B13" s="367" t="s">
        <v>19</v>
      </c>
      <c r="C13" s="367"/>
      <c r="D13" s="367"/>
      <c r="E13" s="367"/>
      <c r="F13" s="367"/>
      <c r="G13" s="367"/>
      <c r="H13" s="367"/>
      <c r="I13" s="367"/>
      <c r="J13" s="367"/>
      <c r="K13" s="367"/>
      <c r="L13" s="368"/>
    </row>
    <row r="14" spans="1:15" s="1" customFormat="1" ht="13.5" thickBot="1">
      <c r="A14" s="9">
        <v>8</v>
      </c>
      <c r="B14" s="370" t="s">
        <v>20</v>
      </c>
      <c r="C14" s="370"/>
      <c r="D14" s="370"/>
      <c r="E14" s="370"/>
      <c r="F14" s="370"/>
      <c r="G14" s="370"/>
      <c r="H14" s="370"/>
      <c r="I14" s="370"/>
      <c r="J14" s="370"/>
      <c r="K14" s="370"/>
      <c r="L14" s="371"/>
    </row>
  </sheetData>
  <mergeCells count="21">
    <mergeCell ref="B12:C12"/>
    <mergeCell ref="E12:L12"/>
    <mergeCell ref="B13:L13"/>
    <mergeCell ref="B14:L14"/>
    <mergeCell ref="B9:C9"/>
    <mergeCell ref="E9:L9"/>
    <mergeCell ref="B10:C10"/>
    <mergeCell ref="E10:L10"/>
    <mergeCell ref="B11:C11"/>
    <mergeCell ref="E11:L11"/>
    <mergeCell ref="B5:L5"/>
    <mergeCell ref="A6:L6"/>
    <mergeCell ref="B7:C7"/>
    <mergeCell ref="E7:L7"/>
    <mergeCell ref="B8:C8"/>
    <mergeCell ref="E8:L8"/>
    <mergeCell ref="A1:F1"/>
    <mergeCell ref="I1:L1"/>
    <mergeCell ref="D2:F2"/>
    <mergeCell ref="D4:F4"/>
    <mergeCell ref="D3:F3"/>
  </mergeCells>
  <printOptions horizontalCentered="1"/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O22"/>
  <sheetViews>
    <sheetView view="pageBreakPreview" topLeftCell="A5" zoomScaleSheetLayoutView="100" workbookViewId="0">
      <selection activeCell="U8" sqref="U8"/>
    </sheetView>
  </sheetViews>
  <sheetFormatPr defaultRowHeight="12.75"/>
  <cols>
    <col min="1" max="1" width="5.42578125" style="2" customWidth="1"/>
    <col min="2" max="2" width="11" style="2" customWidth="1"/>
    <col min="3" max="3" width="9.5703125" style="2" bestFit="1" customWidth="1"/>
    <col min="4" max="4" width="9.140625" style="2"/>
    <col min="5" max="5" width="9.140625" style="25"/>
    <col min="6" max="6" width="28.5703125" style="25" customWidth="1"/>
    <col min="7" max="7" width="11.85546875" style="2" customWidth="1"/>
    <col min="8" max="8" width="9.28515625" style="2" customWidth="1"/>
    <col min="9" max="9" width="5.140625" style="7" customWidth="1"/>
    <col min="10" max="10" width="13.5703125" style="7" customWidth="1"/>
    <col min="11" max="11" width="9" style="2" bestFit="1" customWidth="1"/>
    <col min="12" max="12" width="11" style="2" bestFit="1" customWidth="1"/>
    <col min="13" max="13" width="19.7109375" style="1" customWidth="1"/>
    <col min="14" max="14" width="9.85546875" style="1" bestFit="1" customWidth="1"/>
    <col min="15" max="15" width="9.28515625" style="1" bestFit="1" customWidth="1"/>
    <col min="16" max="16" width="12.42578125" style="2" bestFit="1" customWidth="1"/>
    <col min="17" max="258" width="9.140625" style="2"/>
    <col min="259" max="259" width="5.42578125" style="2" customWidth="1"/>
    <col min="260" max="260" width="7" style="2" bestFit="1" customWidth="1"/>
    <col min="261" max="261" width="9.5703125" style="2" bestFit="1" customWidth="1"/>
    <col min="262" max="263" width="9.140625" style="2"/>
    <col min="264" max="264" width="28.5703125" style="2" customWidth="1"/>
    <col min="265" max="265" width="5.140625" style="2" customWidth="1"/>
    <col min="266" max="266" width="6.28515625" style="2" customWidth="1"/>
    <col min="267" max="267" width="8.28515625" style="2" bestFit="1" customWidth="1"/>
    <col min="268" max="268" width="9.140625" style="2" bestFit="1" customWidth="1"/>
    <col min="269" max="269" width="19.7109375" style="2" customWidth="1"/>
    <col min="270" max="514" width="9.140625" style="2"/>
    <col min="515" max="515" width="5.42578125" style="2" customWidth="1"/>
    <col min="516" max="516" width="7" style="2" bestFit="1" customWidth="1"/>
    <col min="517" max="517" width="9.5703125" style="2" bestFit="1" customWidth="1"/>
    <col min="518" max="519" width="9.140625" style="2"/>
    <col min="520" max="520" width="28.5703125" style="2" customWidth="1"/>
    <col min="521" max="521" width="5.140625" style="2" customWidth="1"/>
    <col min="522" max="522" width="6.28515625" style="2" customWidth="1"/>
    <col min="523" max="523" width="8.28515625" style="2" bestFit="1" customWidth="1"/>
    <col min="524" max="524" width="9.140625" style="2" bestFit="1" customWidth="1"/>
    <col min="525" max="525" width="19.7109375" style="2" customWidth="1"/>
    <col min="526" max="770" width="9.140625" style="2"/>
    <col min="771" max="771" width="5.42578125" style="2" customWidth="1"/>
    <col min="772" max="772" width="7" style="2" bestFit="1" customWidth="1"/>
    <col min="773" max="773" width="9.5703125" style="2" bestFit="1" customWidth="1"/>
    <col min="774" max="775" width="9.140625" style="2"/>
    <col min="776" max="776" width="28.5703125" style="2" customWidth="1"/>
    <col min="777" max="777" width="5.140625" style="2" customWidth="1"/>
    <col min="778" max="778" width="6.28515625" style="2" customWidth="1"/>
    <col min="779" max="779" width="8.28515625" style="2" bestFit="1" customWidth="1"/>
    <col min="780" max="780" width="9.140625" style="2" bestFit="1" customWidth="1"/>
    <col min="781" max="781" width="19.7109375" style="2" customWidth="1"/>
    <col min="782" max="1026" width="9.140625" style="2"/>
    <col min="1027" max="1027" width="5.42578125" style="2" customWidth="1"/>
    <col min="1028" max="1028" width="7" style="2" bestFit="1" customWidth="1"/>
    <col min="1029" max="1029" width="9.5703125" style="2" bestFit="1" customWidth="1"/>
    <col min="1030" max="1031" width="9.140625" style="2"/>
    <col min="1032" max="1032" width="28.5703125" style="2" customWidth="1"/>
    <col min="1033" max="1033" width="5.140625" style="2" customWidth="1"/>
    <col min="1034" max="1034" width="6.28515625" style="2" customWidth="1"/>
    <col min="1035" max="1035" width="8.28515625" style="2" bestFit="1" customWidth="1"/>
    <col min="1036" max="1036" width="9.140625" style="2" bestFit="1" customWidth="1"/>
    <col min="1037" max="1037" width="19.7109375" style="2" customWidth="1"/>
    <col min="1038" max="1282" width="9.140625" style="2"/>
    <col min="1283" max="1283" width="5.42578125" style="2" customWidth="1"/>
    <col min="1284" max="1284" width="7" style="2" bestFit="1" customWidth="1"/>
    <col min="1285" max="1285" width="9.5703125" style="2" bestFit="1" customWidth="1"/>
    <col min="1286" max="1287" width="9.140625" style="2"/>
    <col min="1288" max="1288" width="28.5703125" style="2" customWidth="1"/>
    <col min="1289" max="1289" width="5.140625" style="2" customWidth="1"/>
    <col min="1290" max="1290" width="6.28515625" style="2" customWidth="1"/>
    <col min="1291" max="1291" width="8.28515625" style="2" bestFit="1" customWidth="1"/>
    <col min="1292" max="1292" width="9.140625" style="2" bestFit="1" customWidth="1"/>
    <col min="1293" max="1293" width="19.7109375" style="2" customWidth="1"/>
    <col min="1294" max="1538" width="9.140625" style="2"/>
    <col min="1539" max="1539" width="5.42578125" style="2" customWidth="1"/>
    <col min="1540" max="1540" width="7" style="2" bestFit="1" customWidth="1"/>
    <col min="1541" max="1541" width="9.5703125" style="2" bestFit="1" customWidth="1"/>
    <col min="1542" max="1543" width="9.140625" style="2"/>
    <col min="1544" max="1544" width="28.5703125" style="2" customWidth="1"/>
    <col min="1545" max="1545" width="5.140625" style="2" customWidth="1"/>
    <col min="1546" max="1546" width="6.28515625" style="2" customWidth="1"/>
    <col min="1547" max="1547" width="8.28515625" style="2" bestFit="1" customWidth="1"/>
    <col min="1548" max="1548" width="9.140625" style="2" bestFit="1" customWidth="1"/>
    <col min="1549" max="1549" width="19.7109375" style="2" customWidth="1"/>
    <col min="1550" max="1794" width="9.140625" style="2"/>
    <col min="1795" max="1795" width="5.42578125" style="2" customWidth="1"/>
    <col min="1796" max="1796" width="7" style="2" bestFit="1" customWidth="1"/>
    <col min="1797" max="1797" width="9.5703125" style="2" bestFit="1" customWidth="1"/>
    <col min="1798" max="1799" width="9.140625" style="2"/>
    <col min="1800" max="1800" width="28.5703125" style="2" customWidth="1"/>
    <col min="1801" max="1801" width="5.140625" style="2" customWidth="1"/>
    <col min="1802" max="1802" width="6.28515625" style="2" customWidth="1"/>
    <col min="1803" max="1803" width="8.28515625" style="2" bestFit="1" customWidth="1"/>
    <col min="1804" max="1804" width="9.140625" style="2" bestFit="1" customWidth="1"/>
    <col min="1805" max="1805" width="19.7109375" style="2" customWidth="1"/>
    <col min="1806" max="2050" width="9.140625" style="2"/>
    <col min="2051" max="2051" width="5.42578125" style="2" customWidth="1"/>
    <col min="2052" max="2052" width="7" style="2" bestFit="1" customWidth="1"/>
    <col min="2053" max="2053" width="9.5703125" style="2" bestFit="1" customWidth="1"/>
    <col min="2054" max="2055" width="9.140625" style="2"/>
    <col min="2056" max="2056" width="28.5703125" style="2" customWidth="1"/>
    <col min="2057" max="2057" width="5.140625" style="2" customWidth="1"/>
    <col min="2058" max="2058" width="6.28515625" style="2" customWidth="1"/>
    <col min="2059" max="2059" width="8.28515625" style="2" bestFit="1" customWidth="1"/>
    <col min="2060" max="2060" width="9.140625" style="2" bestFit="1" customWidth="1"/>
    <col min="2061" max="2061" width="19.7109375" style="2" customWidth="1"/>
    <col min="2062" max="2306" width="9.140625" style="2"/>
    <col min="2307" max="2307" width="5.42578125" style="2" customWidth="1"/>
    <col min="2308" max="2308" width="7" style="2" bestFit="1" customWidth="1"/>
    <col min="2309" max="2309" width="9.5703125" style="2" bestFit="1" customWidth="1"/>
    <col min="2310" max="2311" width="9.140625" style="2"/>
    <col min="2312" max="2312" width="28.5703125" style="2" customWidth="1"/>
    <col min="2313" max="2313" width="5.140625" style="2" customWidth="1"/>
    <col min="2314" max="2314" width="6.28515625" style="2" customWidth="1"/>
    <col min="2315" max="2315" width="8.28515625" style="2" bestFit="1" customWidth="1"/>
    <col min="2316" max="2316" width="9.140625" style="2" bestFit="1" customWidth="1"/>
    <col min="2317" max="2317" width="19.7109375" style="2" customWidth="1"/>
    <col min="2318" max="2562" width="9.140625" style="2"/>
    <col min="2563" max="2563" width="5.42578125" style="2" customWidth="1"/>
    <col min="2564" max="2564" width="7" style="2" bestFit="1" customWidth="1"/>
    <col min="2565" max="2565" width="9.5703125" style="2" bestFit="1" customWidth="1"/>
    <col min="2566" max="2567" width="9.140625" style="2"/>
    <col min="2568" max="2568" width="28.5703125" style="2" customWidth="1"/>
    <col min="2569" max="2569" width="5.140625" style="2" customWidth="1"/>
    <col min="2570" max="2570" width="6.28515625" style="2" customWidth="1"/>
    <col min="2571" max="2571" width="8.28515625" style="2" bestFit="1" customWidth="1"/>
    <col min="2572" max="2572" width="9.140625" style="2" bestFit="1" customWidth="1"/>
    <col min="2573" max="2573" width="19.7109375" style="2" customWidth="1"/>
    <col min="2574" max="2818" width="9.140625" style="2"/>
    <col min="2819" max="2819" width="5.42578125" style="2" customWidth="1"/>
    <col min="2820" max="2820" width="7" style="2" bestFit="1" customWidth="1"/>
    <col min="2821" max="2821" width="9.5703125" style="2" bestFit="1" customWidth="1"/>
    <col min="2822" max="2823" width="9.140625" style="2"/>
    <col min="2824" max="2824" width="28.5703125" style="2" customWidth="1"/>
    <col min="2825" max="2825" width="5.140625" style="2" customWidth="1"/>
    <col min="2826" max="2826" width="6.28515625" style="2" customWidth="1"/>
    <col min="2827" max="2827" width="8.28515625" style="2" bestFit="1" customWidth="1"/>
    <col min="2828" max="2828" width="9.140625" style="2" bestFit="1" customWidth="1"/>
    <col min="2829" max="2829" width="19.7109375" style="2" customWidth="1"/>
    <col min="2830" max="3074" width="9.140625" style="2"/>
    <col min="3075" max="3075" width="5.42578125" style="2" customWidth="1"/>
    <col min="3076" max="3076" width="7" style="2" bestFit="1" customWidth="1"/>
    <col min="3077" max="3077" width="9.5703125" style="2" bestFit="1" customWidth="1"/>
    <col min="3078" max="3079" width="9.140625" style="2"/>
    <col min="3080" max="3080" width="28.5703125" style="2" customWidth="1"/>
    <col min="3081" max="3081" width="5.140625" style="2" customWidth="1"/>
    <col min="3082" max="3082" width="6.28515625" style="2" customWidth="1"/>
    <col min="3083" max="3083" width="8.28515625" style="2" bestFit="1" customWidth="1"/>
    <col min="3084" max="3084" width="9.140625" style="2" bestFit="1" customWidth="1"/>
    <col min="3085" max="3085" width="19.7109375" style="2" customWidth="1"/>
    <col min="3086" max="3330" width="9.140625" style="2"/>
    <col min="3331" max="3331" width="5.42578125" style="2" customWidth="1"/>
    <col min="3332" max="3332" width="7" style="2" bestFit="1" customWidth="1"/>
    <col min="3333" max="3333" width="9.5703125" style="2" bestFit="1" customWidth="1"/>
    <col min="3334" max="3335" width="9.140625" style="2"/>
    <col min="3336" max="3336" width="28.5703125" style="2" customWidth="1"/>
    <col min="3337" max="3337" width="5.140625" style="2" customWidth="1"/>
    <col min="3338" max="3338" width="6.28515625" style="2" customWidth="1"/>
    <col min="3339" max="3339" width="8.28515625" style="2" bestFit="1" customWidth="1"/>
    <col min="3340" max="3340" width="9.140625" style="2" bestFit="1" customWidth="1"/>
    <col min="3341" max="3341" width="19.7109375" style="2" customWidth="1"/>
    <col min="3342" max="3586" width="9.140625" style="2"/>
    <col min="3587" max="3587" width="5.42578125" style="2" customWidth="1"/>
    <col min="3588" max="3588" width="7" style="2" bestFit="1" customWidth="1"/>
    <col min="3589" max="3589" width="9.5703125" style="2" bestFit="1" customWidth="1"/>
    <col min="3590" max="3591" width="9.140625" style="2"/>
    <col min="3592" max="3592" width="28.5703125" style="2" customWidth="1"/>
    <col min="3593" max="3593" width="5.140625" style="2" customWidth="1"/>
    <col min="3594" max="3594" width="6.28515625" style="2" customWidth="1"/>
    <col min="3595" max="3595" width="8.28515625" style="2" bestFit="1" customWidth="1"/>
    <col min="3596" max="3596" width="9.140625" style="2" bestFit="1" customWidth="1"/>
    <col min="3597" max="3597" width="19.7109375" style="2" customWidth="1"/>
    <col min="3598" max="3842" width="9.140625" style="2"/>
    <col min="3843" max="3843" width="5.42578125" style="2" customWidth="1"/>
    <col min="3844" max="3844" width="7" style="2" bestFit="1" customWidth="1"/>
    <col min="3845" max="3845" width="9.5703125" style="2" bestFit="1" customWidth="1"/>
    <col min="3846" max="3847" width="9.140625" style="2"/>
    <col min="3848" max="3848" width="28.5703125" style="2" customWidth="1"/>
    <col min="3849" max="3849" width="5.140625" style="2" customWidth="1"/>
    <col min="3850" max="3850" width="6.28515625" style="2" customWidth="1"/>
    <col min="3851" max="3851" width="8.28515625" style="2" bestFit="1" customWidth="1"/>
    <col min="3852" max="3852" width="9.140625" style="2" bestFit="1" customWidth="1"/>
    <col min="3853" max="3853" width="19.7109375" style="2" customWidth="1"/>
    <col min="3854" max="4098" width="9.140625" style="2"/>
    <col min="4099" max="4099" width="5.42578125" style="2" customWidth="1"/>
    <col min="4100" max="4100" width="7" style="2" bestFit="1" customWidth="1"/>
    <col min="4101" max="4101" width="9.5703125" style="2" bestFit="1" customWidth="1"/>
    <col min="4102" max="4103" width="9.140625" style="2"/>
    <col min="4104" max="4104" width="28.5703125" style="2" customWidth="1"/>
    <col min="4105" max="4105" width="5.140625" style="2" customWidth="1"/>
    <col min="4106" max="4106" width="6.28515625" style="2" customWidth="1"/>
    <col min="4107" max="4107" width="8.28515625" style="2" bestFit="1" customWidth="1"/>
    <col min="4108" max="4108" width="9.140625" style="2" bestFit="1" customWidth="1"/>
    <col min="4109" max="4109" width="19.7109375" style="2" customWidth="1"/>
    <col min="4110" max="4354" width="9.140625" style="2"/>
    <col min="4355" max="4355" width="5.42578125" style="2" customWidth="1"/>
    <col min="4356" max="4356" width="7" style="2" bestFit="1" customWidth="1"/>
    <col min="4357" max="4357" width="9.5703125" style="2" bestFit="1" customWidth="1"/>
    <col min="4358" max="4359" width="9.140625" style="2"/>
    <col min="4360" max="4360" width="28.5703125" style="2" customWidth="1"/>
    <col min="4361" max="4361" width="5.140625" style="2" customWidth="1"/>
    <col min="4362" max="4362" width="6.28515625" style="2" customWidth="1"/>
    <col min="4363" max="4363" width="8.28515625" style="2" bestFit="1" customWidth="1"/>
    <col min="4364" max="4364" width="9.140625" style="2" bestFit="1" customWidth="1"/>
    <col min="4365" max="4365" width="19.7109375" style="2" customWidth="1"/>
    <col min="4366" max="4610" width="9.140625" style="2"/>
    <col min="4611" max="4611" width="5.42578125" style="2" customWidth="1"/>
    <col min="4612" max="4612" width="7" style="2" bestFit="1" customWidth="1"/>
    <col min="4613" max="4613" width="9.5703125" style="2" bestFit="1" customWidth="1"/>
    <col min="4614" max="4615" width="9.140625" style="2"/>
    <col min="4616" max="4616" width="28.5703125" style="2" customWidth="1"/>
    <col min="4617" max="4617" width="5.140625" style="2" customWidth="1"/>
    <col min="4618" max="4618" width="6.28515625" style="2" customWidth="1"/>
    <col min="4619" max="4619" width="8.28515625" style="2" bestFit="1" customWidth="1"/>
    <col min="4620" max="4620" width="9.140625" style="2" bestFit="1" customWidth="1"/>
    <col min="4621" max="4621" width="19.7109375" style="2" customWidth="1"/>
    <col min="4622" max="4866" width="9.140625" style="2"/>
    <col min="4867" max="4867" width="5.42578125" style="2" customWidth="1"/>
    <col min="4868" max="4868" width="7" style="2" bestFit="1" customWidth="1"/>
    <col min="4869" max="4869" width="9.5703125" style="2" bestFit="1" customWidth="1"/>
    <col min="4870" max="4871" width="9.140625" style="2"/>
    <col min="4872" max="4872" width="28.5703125" style="2" customWidth="1"/>
    <col min="4873" max="4873" width="5.140625" style="2" customWidth="1"/>
    <col min="4874" max="4874" width="6.28515625" style="2" customWidth="1"/>
    <col min="4875" max="4875" width="8.28515625" style="2" bestFit="1" customWidth="1"/>
    <col min="4876" max="4876" width="9.140625" style="2" bestFit="1" customWidth="1"/>
    <col min="4877" max="4877" width="19.7109375" style="2" customWidth="1"/>
    <col min="4878" max="5122" width="9.140625" style="2"/>
    <col min="5123" max="5123" width="5.42578125" style="2" customWidth="1"/>
    <col min="5124" max="5124" width="7" style="2" bestFit="1" customWidth="1"/>
    <col min="5125" max="5125" width="9.5703125" style="2" bestFit="1" customWidth="1"/>
    <col min="5126" max="5127" width="9.140625" style="2"/>
    <col min="5128" max="5128" width="28.5703125" style="2" customWidth="1"/>
    <col min="5129" max="5129" width="5.140625" style="2" customWidth="1"/>
    <col min="5130" max="5130" width="6.28515625" style="2" customWidth="1"/>
    <col min="5131" max="5131" width="8.28515625" style="2" bestFit="1" customWidth="1"/>
    <col min="5132" max="5132" width="9.140625" style="2" bestFit="1" customWidth="1"/>
    <col min="5133" max="5133" width="19.7109375" style="2" customWidth="1"/>
    <col min="5134" max="5378" width="9.140625" style="2"/>
    <col min="5379" max="5379" width="5.42578125" style="2" customWidth="1"/>
    <col min="5380" max="5380" width="7" style="2" bestFit="1" customWidth="1"/>
    <col min="5381" max="5381" width="9.5703125" style="2" bestFit="1" customWidth="1"/>
    <col min="5382" max="5383" width="9.140625" style="2"/>
    <col min="5384" max="5384" width="28.5703125" style="2" customWidth="1"/>
    <col min="5385" max="5385" width="5.140625" style="2" customWidth="1"/>
    <col min="5386" max="5386" width="6.28515625" style="2" customWidth="1"/>
    <col min="5387" max="5387" width="8.28515625" style="2" bestFit="1" customWidth="1"/>
    <col min="5388" max="5388" width="9.140625" style="2" bestFit="1" customWidth="1"/>
    <col min="5389" max="5389" width="19.7109375" style="2" customWidth="1"/>
    <col min="5390" max="5634" width="9.140625" style="2"/>
    <col min="5635" max="5635" width="5.42578125" style="2" customWidth="1"/>
    <col min="5636" max="5636" width="7" style="2" bestFit="1" customWidth="1"/>
    <col min="5637" max="5637" width="9.5703125" style="2" bestFit="1" customWidth="1"/>
    <col min="5638" max="5639" width="9.140625" style="2"/>
    <col min="5640" max="5640" width="28.5703125" style="2" customWidth="1"/>
    <col min="5641" max="5641" width="5.140625" style="2" customWidth="1"/>
    <col min="5642" max="5642" width="6.28515625" style="2" customWidth="1"/>
    <col min="5643" max="5643" width="8.28515625" style="2" bestFit="1" customWidth="1"/>
    <col min="5644" max="5644" width="9.140625" style="2" bestFit="1" customWidth="1"/>
    <col min="5645" max="5645" width="19.7109375" style="2" customWidth="1"/>
    <col min="5646" max="5890" width="9.140625" style="2"/>
    <col min="5891" max="5891" width="5.42578125" style="2" customWidth="1"/>
    <col min="5892" max="5892" width="7" style="2" bestFit="1" customWidth="1"/>
    <col min="5893" max="5893" width="9.5703125" style="2" bestFit="1" customWidth="1"/>
    <col min="5894" max="5895" width="9.140625" style="2"/>
    <col min="5896" max="5896" width="28.5703125" style="2" customWidth="1"/>
    <col min="5897" max="5897" width="5.140625" style="2" customWidth="1"/>
    <col min="5898" max="5898" width="6.28515625" style="2" customWidth="1"/>
    <col min="5899" max="5899" width="8.28515625" style="2" bestFit="1" customWidth="1"/>
    <col min="5900" max="5900" width="9.140625" style="2" bestFit="1" customWidth="1"/>
    <col min="5901" max="5901" width="19.7109375" style="2" customWidth="1"/>
    <col min="5902" max="6146" width="9.140625" style="2"/>
    <col min="6147" max="6147" width="5.42578125" style="2" customWidth="1"/>
    <col min="6148" max="6148" width="7" style="2" bestFit="1" customWidth="1"/>
    <col min="6149" max="6149" width="9.5703125" style="2" bestFit="1" customWidth="1"/>
    <col min="6150" max="6151" width="9.140625" style="2"/>
    <col min="6152" max="6152" width="28.5703125" style="2" customWidth="1"/>
    <col min="6153" max="6153" width="5.140625" style="2" customWidth="1"/>
    <col min="6154" max="6154" width="6.28515625" style="2" customWidth="1"/>
    <col min="6155" max="6155" width="8.28515625" style="2" bestFit="1" customWidth="1"/>
    <col min="6156" max="6156" width="9.140625" style="2" bestFit="1" customWidth="1"/>
    <col min="6157" max="6157" width="19.7109375" style="2" customWidth="1"/>
    <col min="6158" max="6402" width="9.140625" style="2"/>
    <col min="6403" max="6403" width="5.42578125" style="2" customWidth="1"/>
    <col min="6404" max="6404" width="7" style="2" bestFit="1" customWidth="1"/>
    <col min="6405" max="6405" width="9.5703125" style="2" bestFit="1" customWidth="1"/>
    <col min="6406" max="6407" width="9.140625" style="2"/>
    <col min="6408" max="6408" width="28.5703125" style="2" customWidth="1"/>
    <col min="6409" max="6409" width="5.140625" style="2" customWidth="1"/>
    <col min="6410" max="6410" width="6.28515625" style="2" customWidth="1"/>
    <col min="6411" max="6411" width="8.28515625" style="2" bestFit="1" customWidth="1"/>
    <col min="6412" max="6412" width="9.140625" style="2" bestFit="1" customWidth="1"/>
    <col min="6413" max="6413" width="19.7109375" style="2" customWidth="1"/>
    <col min="6414" max="6658" width="9.140625" style="2"/>
    <col min="6659" max="6659" width="5.42578125" style="2" customWidth="1"/>
    <col min="6660" max="6660" width="7" style="2" bestFit="1" customWidth="1"/>
    <col min="6661" max="6661" width="9.5703125" style="2" bestFit="1" customWidth="1"/>
    <col min="6662" max="6663" width="9.140625" style="2"/>
    <col min="6664" max="6664" width="28.5703125" style="2" customWidth="1"/>
    <col min="6665" max="6665" width="5.140625" style="2" customWidth="1"/>
    <col min="6666" max="6666" width="6.28515625" style="2" customWidth="1"/>
    <col min="6667" max="6667" width="8.28515625" style="2" bestFit="1" customWidth="1"/>
    <col min="6668" max="6668" width="9.140625" style="2" bestFit="1" customWidth="1"/>
    <col min="6669" max="6669" width="19.7109375" style="2" customWidth="1"/>
    <col min="6670" max="6914" width="9.140625" style="2"/>
    <col min="6915" max="6915" width="5.42578125" style="2" customWidth="1"/>
    <col min="6916" max="6916" width="7" style="2" bestFit="1" customWidth="1"/>
    <col min="6917" max="6917" width="9.5703125" style="2" bestFit="1" customWidth="1"/>
    <col min="6918" max="6919" width="9.140625" style="2"/>
    <col min="6920" max="6920" width="28.5703125" style="2" customWidth="1"/>
    <col min="6921" max="6921" width="5.140625" style="2" customWidth="1"/>
    <col min="6922" max="6922" width="6.28515625" style="2" customWidth="1"/>
    <col min="6923" max="6923" width="8.28515625" style="2" bestFit="1" customWidth="1"/>
    <col min="6924" max="6924" width="9.140625" style="2" bestFit="1" customWidth="1"/>
    <col min="6925" max="6925" width="19.7109375" style="2" customWidth="1"/>
    <col min="6926" max="7170" width="9.140625" style="2"/>
    <col min="7171" max="7171" width="5.42578125" style="2" customWidth="1"/>
    <col min="7172" max="7172" width="7" style="2" bestFit="1" customWidth="1"/>
    <col min="7173" max="7173" width="9.5703125" style="2" bestFit="1" customWidth="1"/>
    <col min="7174" max="7175" width="9.140625" style="2"/>
    <col min="7176" max="7176" width="28.5703125" style="2" customWidth="1"/>
    <col min="7177" max="7177" width="5.140625" style="2" customWidth="1"/>
    <col min="7178" max="7178" width="6.28515625" style="2" customWidth="1"/>
    <col min="7179" max="7179" width="8.28515625" style="2" bestFit="1" customWidth="1"/>
    <col min="7180" max="7180" width="9.140625" style="2" bestFit="1" customWidth="1"/>
    <col min="7181" max="7181" width="19.7109375" style="2" customWidth="1"/>
    <col min="7182" max="7426" width="9.140625" style="2"/>
    <col min="7427" max="7427" width="5.42578125" style="2" customWidth="1"/>
    <col min="7428" max="7428" width="7" style="2" bestFit="1" customWidth="1"/>
    <col min="7429" max="7429" width="9.5703125" style="2" bestFit="1" customWidth="1"/>
    <col min="7430" max="7431" width="9.140625" style="2"/>
    <col min="7432" max="7432" width="28.5703125" style="2" customWidth="1"/>
    <col min="7433" max="7433" width="5.140625" style="2" customWidth="1"/>
    <col min="7434" max="7434" width="6.28515625" style="2" customWidth="1"/>
    <col min="7435" max="7435" width="8.28515625" style="2" bestFit="1" customWidth="1"/>
    <col min="7436" max="7436" width="9.140625" style="2" bestFit="1" customWidth="1"/>
    <col min="7437" max="7437" width="19.7109375" style="2" customWidth="1"/>
    <col min="7438" max="7682" width="9.140625" style="2"/>
    <col min="7683" max="7683" width="5.42578125" style="2" customWidth="1"/>
    <col min="7684" max="7684" width="7" style="2" bestFit="1" customWidth="1"/>
    <col min="7685" max="7685" width="9.5703125" style="2" bestFit="1" customWidth="1"/>
    <col min="7686" max="7687" width="9.140625" style="2"/>
    <col min="7688" max="7688" width="28.5703125" style="2" customWidth="1"/>
    <col min="7689" max="7689" width="5.140625" style="2" customWidth="1"/>
    <col min="7690" max="7690" width="6.28515625" style="2" customWidth="1"/>
    <col min="7691" max="7691" width="8.28515625" style="2" bestFit="1" customWidth="1"/>
    <col min="7692" max="7692" width="9.140625" style="2" bestFit="1" customWidth="1"/>
    <col min="7693" max="7693" width="19.7109375" style="2" customWidth="1"/>
    <col min="7694" max="7938" width="9.140625" style="2"/>
    <col min="7939" max="7939" width="5.42578125" style="2" customWidth="1"/>
    <col min="7940" max="7940" width="7" style="2" bestFit="1" customWidth="1"/>
    <col min="7941" max="7941" width="9.5703125" style="2" bestFit="1" customWidth="1"/>
    <col min="7942" max="7943" width="9.140625" style="2"/>
    <col min="7944" max="7944" width="28.5703125" style="2" customWidth="1"/>
    <col min="7945" max="7945" width="5.140625" style="2" customWidth="1"/>
    <col min="7946" max="7946" width="6.28515625" style="2" customWidth="1"/>
    <col min="7947" max="7947" width="8.28515625" style="2" bestFit="1" customWidth="1"/>
    <col min="7948" max="7948" width="9.140625" style="2" bestFit="1" customWidth="1"/>
    <col min="7949" max="7949" width="19.7109375" style="2" customWidth="1"/>
    <col min="7950" max="8194" width="9.140625" style="2"/>
    <col min="8195" max="8195" width="5.42578125" style="2" customWidth="1"/>
    <col min="8196" max="8196" width="7" style="2" bestFit="1" customWidth="1"/>
    <col min="8197" max="8197" width="9.5703125" style="2" bestFit="1" customWidth="1"/>
    <col min="8198" max="8199" width="9.140625" style="2"/>
    <col min="8200" max="8200" width="28.5703125" style="2" customWidth="1"/>
    <col min="8201" max="8201" width="5.140625" style="2" customWidth="1"/>
    <col min="8202" max="8202" width="6.28515625" style="2" customWidth="1"/>
    <col min="8203" max="8203" width="8.28515625" style="2" bestFit="1" customWidth="1"/>
    <col min="8204" max="8204" width="9.140625" style="2" bestFit="1" customWidth="1"/>
    <col min="8205" max="8205" width="19.7109375" style="2" customWidth="1"/>
    <col min="8206" max="8450" width="9.140625" style="2"/>
    <col min="8451" max="8451" width="5.42578125" style="2" customWidth="1"/>
    <col min="8452" max="8452" width="7" style="2" bestFit="1" customWidth="1"/>
    <col min="8453" max="8453" width="9.5703125" style="2" bestFit="1" customWidth="1"/>
    <col min="8454" max="8455" width="9.140625" style="2"/>
    <col min="8456" max="8456" width="28.5703125" style="2" customWidth="1"/>
    <col min="8457" max="8457" width="5.140625" style="2" customWidth="1"/>
    <col min="8458" max="8458" width="6.28515625" style="2" customWidth="1"/>
    <col min="8459" max="8459" width="8.28515625" style="2" bestFit="1" customWidth="1"/>
    <col min="8460" max="8460" width="9.140625" style="2" bestFit="1" customWidth="1"/>
    <col min="8461" max="8461" width="19.7109375" style="2" customWidth="1"/>
    <col min="8462" max="8706" width="9.140625" style="2"/>
    <col min="8707" max="8707" width="5.42578125" style="2" customWidth="1"/>
    <col min="8708" max="8708" width="7" style="2" bestFit="1" customWidth="1"/>
    <col min="8709" max="8709" width="9.5703125" style="2" bestFit="1" customWidth="1"/>
    <col min="8710" max="8711" width="9.140625" style="2"/>
    <col min="8712" max="8712" width="28.5703125" style="2" customWidth="1"/>
    <col min="8713" max="8713" width="5.140625" style="2" customWidth="1"/>
    <col min="8714" max="8714" width="6.28515625" style="2" customWidth="1"/>
    <col min="8715" max="8715" width="8.28515625" style="2" bestFit="1" customWidth="1"/>
    <col min="8716" max="8716" width="9.140625" style="2" bestFit="1" customWidth="1"/>
    <col min="8717" max="8717" width="19.7109375" style="2" customWidth="1"/>
    <col min="8718" max="8962" width="9.140625" style="2"/>
    <col min="8963" max="8963" width="5.42578125" style="2" customWidth="1"/>
    <col min="8964" max="8964" width="7" style="2" bestFit="1" customWidth="1"/>
    <col min="8965" max="8965" width="9.5703125" style="2" bestFit="1" customWidth="1"/>
    <col min="8966" max="8967" width="9.140625" style="2"/>
    <col min="8968" max="8968" width="28.5703125" style="2" customWidth="1"/>
    <col min="8969" max="8969" width="5.140625" style="2" customWidth="1"/>
    <col min="8970" max="8970" width="6.28515625" style="2" customWidth="1"/>
    <col min="8971" max="8971" width="8.28515625" style="2" bestFit="1" customWidth="1"/>
    <col min="8972" max="8972" width="9.140625" style="2" bestFit="1" customWidth="1"/>
    <col min="8973" max="8973" width="19.7109375" style="2" customWidth="1"/>
    <col min="8974" max="9218" width="9.140625" style="2"/>
    <col min="9219" max="9219" width="5.42578125" style="2" customWidth="1"/>
    <col min="9220" max="9220" width="7" style="2" bestFit="1" customWidth="1"/>
    <col min="9221" max="9221" width="9.5703125" style="2" bestFit="1" customWidth="1"/>
    <col min="9222" max="9223" width="9.140625" style="2"/>
    <col min="9224" max="9224" width="28.5703125" style="2" customWidth="1"/>
    <col min="9225" max="9225" width="5.140625" style="2" customWidth="1"/>
    <col min="9226" max="9226" width="6.28515625" style="2" customWidth="1"/>
    <col min="9227" max="9227" width="8.28515625" style="2" bestFit="1" customWidth="1"/>
    <col min="9228" max="9228" width="9.140625" style="2" bestFit="1" customWidth="1"/>
    <col min="9229" max="9229" width="19.7109375" style="2" customWidth="1"/>
    <col min="9230" max="9474" width="9.140625" style="2"/>
    <col min="9475" max="9475" width="5.42578125" style="2" customWidth="1"/>
    <col min="9476" max="9476" width="7" style="2" bestFit="1" customWidth="1"/>
    <col min="9477" max="9477" width="9.5703125" style="2" bestFit="1" customWidth="1"/>
    <col min="9478" max="9479" width="9.140625" style="2"/>
    <col min="9480" max="9480" width="28.5703125" style="2" customWidth="1"/>
    <col min="9481" max="9481" width="5.140625" style="2" customWidth="1"/>
    <col min="9482" max="9482" width="6.28515625" style="2" customWidth="1"/>
    <col min="9483" max="9483" width="8.28515625" style="2" bestFit="1" customWidth="1"/>
    <col min="9484" max="9484" width="9.140625" style="2" bestFit="1" customWidth="1"/>
    <col min="9485" max="9485" width="19.7109375" style="2" customWidth="1"/>
    <col min="9486" max="9730" width="9.140625" style="2"/>
    <col min="9731" max="9731" width="5.42578125" style="2" customWidth="1"/>
    <col min="9732" max="9732" width="7" style="2" bestFit="1" customWidth="1"/>
    <col min="9733" max="9733" width="9.5703125" style="2" bestFit="1" customWidth="1"/>
    <col min="9734" max="9735" width="9.140625" style="2"/>
    <col min="9736" max="9736" width="28.5703125" style="2" customWidth="1"/>
    <col min="9737" max="9737" width="5.140625" style="2" customWidth="1"/>
    <col min="9738" max="9738" width="6.28515625" style="2" customWidth="1"/>
    <col min="9739" max="9739" width="8.28515625" style="2" bestFit="1" customWidth="1"/>
    <col min="9740" max="9740" width="9.140625" style="2" bestFit="1" customWidth="1"/>
    <col min="9741" max="9741" width="19.7109375" style="2" customWidth="1"/>
    <col min="9742" max="9986" width="9.140625" style="2"/>
    <col min="9987" max="9987" width="5.42578125" style="2" customWidth="1"/>
    <col min="9988" max="9988" width="7" style="2" bestFit="1" customWidth="1"/>
    <col min="9989" max="9989" width="9.5703125" style="2" bestFit="1" customWidth="1"/>
    <col min="9990" max="9991" width="9.140625" style="2"/>
    <col min="9992" max="9992" width="28.5703125" style="2" customWidth="1"/>
    <col min="9993" max="9993" width="5.140625" style="2" customWidth="1"/>
    <col min="9994" max="9994" width="6.28515625" style="2" customWidth="1"/>
    <col min="9995" max="9995" width="8.28515625" style="2" bestFit="1" customWidth="1"/>
    <col min="9996" max="9996" width="9.140625" style="2" bestFit="1" customWidth="1"/>
    <col min="9997" max="9997" width="19.7109375" style="2" customWidth="1"/>
    <col min="9998" max="10242" width="9.140625" style="2"/>
    <col min="10243" max="10243" width="5.42578125" style="2" customWidth="1"/>
    <col min="10244" max="10244" width="7" style="2" bestFit="1" customWidth="1"/>
    <col min="10245" max="10245" width="9.5703125" style="2" bestFit="1" customWidth="1"/>
    <col min="10246" max="10247" width="9.140625" style="2"/>
    <col min="10248" max="10248" width="28.5703125" style="2" customWidth="1"/>
    <col min="10249" max="10249" width="5.140625" style="2" customWidth="1"/>
    <col min="10250" max="10250" width="6.28515625" style="2" customWidth="1"/>
    <col min="10251" max="10251" width="8.28515625" style="2" bestFit="1" customWidth="1"/>
    <col min="10252" max="10252" width="9.140625" style="2" bestFit="1" customWidth="1"/>
    <col min="10253" max="10253" width="19.7109375" style="2" customWidth="1"/>
    <col min="10254" max="10498" width="9.140625" style="2"/>
    <col min="10499" max="10499" width="5.42578125" style="2" customWidth="1"/>
    <col min="10500" max="10500" width="7" style="2" bestFit="1" customWidth="1"/>
    <col min="10501" max="10501" width="9.5703125" style="2" bestFit="1" customWidth="1"/>
    <col min="10502" max="10503" width="9.140625" style="2"/>
    <col min="10504" max="10504" width="28.5703125" style="2" customWidth="1"/>
    <col min="10505" max="10505" width="5.140625" style="2" customWidth="1"/>
    <col min="10506" max="10506" width="6.28515625" style="2" customWidth="1"/>
    <col min="10507" max="10507" width="8.28515625" style="2" bestFit="1" customWidth="1"/>
    <col min="10508" max="10508" width="9.140625" style="2" bestFit="1" customWidth="1"/>
    <col min="10509" max="10509" width="19.7109375" style="2" customWidth="1"/>
    <col min="10510" max="10754" width="9.140625" style="2"/>
    <col min="10755" max="10755" width="5.42578125" style="2" customWidth="1"/>
    <col min="10756" max="10756" width="7" style="2" bestFit="1" customWidth="1"/>
    <col min="10757" max="10757" width="9.5703125" style="2" bestFit="1" customWidth="1"/>
    <col min="10758" max="10759" width="9.140625" style="2"/>
    <col min="10760" max="10760" width="28.5703125" style="2" customWidth="1"/>
    <col min="10761" max="10761" width="5.140625" style="2" customWidth="1"/>
    <col min="10762" max="10762" width="6.28515625" style="2" customWidth="1"/>
    <col min="10763" max="10763" width="8.28515625" style="2" bestFit="1" customWidth="1"/>
    <col min="10764" max="10764" width="9.140625" style="2" bestFit="1" customWidth="1"/>
    <col min="10765" max="10765" width="19.7109375" style="2" customWidth="1"/>
    <col min="10766" max="11010" width="9.140625" style="2"/>
    <col min="11011" max="11011" width="5.42578125" style="2" customWidth="1"/>
    <col min="11012" max="11012" width="7" style="2" bestFit="1" customWidth="1"/>
    <col min="11013" max="11013" width="9.5703125" style="2" bestFit="1" customWidth="1"/>
    <col min="11014" max="11015" width="9.140625" style="2"/>
    <col min="11016" max="11016" width="28.5703125" style="2" customWidth="1"/>
    <col min="11017" max="11017" width="5.140625" style="2" customWidth="1"/>
    <col min="11018" max="11018" width="6.28515625" style="2" customWidth="1"/>
    <col min="11019" max="11019" width="8.28515625" style="2" bestFit="1" customWidth="1"/>
    <col min="11020" max="11020" width="9.140625" style="2" bestFit="1" customWidth="1"/>
    <col min="11021" max="11021" width="19.7109375" style="2" customWidth="1"/>
    <col min="11022" max="11266" width="9.140625" style="2"/>
    <col min="11267" max="11267" width="5.42578125" style="2" customWidth="1"/>
    <col min="11268" max="11268" width="7" style="2" bestFit="1" customWidth="1"/>
    <col min="11269" max="11269" width="9.5703125" style="2" bestFit="1" customWidth="1"/>
    <col min="11270" max="11271" width="9.140625" style="2"/>
    <col min="11272" max="11272" width="28.5703125" style="2" customWidth="1"/>
    <col min="11273" max="11273" width="5.140625" style="2" customWidth="1"/>
    <col min="11274" max="11274" width="6.28515625" style="2" customWidth="1"/>
    <col min="11275" max="11275" width="8.28515625" style="2" bestFit="1" customWidth="1"/>
    <col min="11276" max="11276" width="9.140625" style="2" bestFit="1" customWidth="1"/>
    <col min="11277" max="11277" width="19.7109375" style="2" customWidth="1"/>
    <col min="11278" max="11522" width="9.140625" style="2"/>
    <col min="11523" max="11523" width="5.42578125" style="2" customWidth="1"/>
    <col min="11524" max="11524" width="7" style="2" bestFit="1" customWidth="1"/>
    <col min="11525" max="11525" width="9.5703125" style="2" bestFit="1" customWidth="1"/>
    <col min="11526" max="11527" width="9.140625" style="2"/>
    <col min="11528" max="11528" width="28.5703125" style="2" customWidth="1"/>
    <col min="11529" max="11529" width="5.140625" style="2" customWidth="1"/>
    <col min="11530" max="11530" width="6.28515625" style="2" customWidth="1"/>
    <col min="11531" max="11531" width="8.28515625" style="2" bestFit="1" customWidth="1"/>
    <col min="11532" max="11532" width="9.140625" style="2" bestFit="1" customWidth="1"/>
    <col min="11533" max="11533" width="19.7109375" style="2" customWidth="1"/>
    <col min="11534" max="11778" width="9.140625" style="2"/>
    <col min="11779" max="11779" width="5.42578125" style="2" customWidth="1"/>
    <col min="11780" max="11780" width="7" style="2" bestFit="1" customWidth="1"/>
    <col min="11781" max="11781" width="9.5703125" style="2" bestFit="1" customWidth="1"/>
    <col min="11782" max="11783" width="9.140625" style="2"/>
    <col min="11784" max="11784" width="28.5703125" style="2" customWidth="1"/>
    <col min="11785" max="11785" width="5.140625" style="2" customWidth="1"/>
    <col min="11786" max="11786" width="6.28515625" style="2" customWidth="1"/>
    <col min="11787" max="11787" width="8.28515625" style="2" bestFit="1" customWidth="1"/>
    <col min="11788" max="11788" width="9.140625" style="2" bestFit="1" customWidth="1"/>
    <col min="11789" max="11789" width="19.7109375" style="2" customWidth="1"/>
    <col min="11790" max="12034" width="9.140625" style="2"/>
    <col min="12035" max="12035" width="5.42578125" style="2" customWidth="1"/>
    <col min="12036" max="12036" width="7" style="2" bestFit="1" customWidth="1"/>
    <col min="12037" max="12037" width="9.5703125" style="2" bestFit="1" customWidth="1"/>
    <col min="12038" max="12039" width="9.140625" style="2"/>
    <col min="12040" max="12040" width="28.5703125" style="2" customWidth="1"/>
    <col min="12041" max="12041" width="5.140625" style="2" customWidth="1"/>
    <col min="12042" max="12042" width="6.28515625" style="2" customWidth="1"/>
    <col min="12043" max="12043" width="8.28515625" style="2" bestFit="1" customWidth="1"/>
    <col min="12044" max="12044" width="9.140625" style="2" bestFit="1" customWidth="1"/>
    <col min="12045" max="12045" width="19.7109375" style="2" customWidth="1"/>
    <col min="12046" max="12290" width="9.140625" style="2"/>
    <col min="12291" max="12291" width="5.42578125" style="2" customWidth="1"/>
    <col min="12292" max="12292" width="7" style="2" bestFit="1" customWidth="1"/>
    <col min="12293" max="12293" width="9.5703125" style="2" bestFit="1" customWidth="1"/>
    <col min="12294" max="12295" width="9.140625" style="2"/>
    <col min="12296" max="12296" width="28.5703125" style="2" customWidth="1"/>
    <col min="12297" max="12297" width="5.140625" style="2" customWidth="1"/>
    <col min="12298" max="12298" width="6.28515625" style="2" customWidth="1"/>
    <col min="12299" max="12299" width="8.28515625" style="2" bestFit="1" customWidth="1"/>
    <col min="12300" max="12300" width="9.140625" style="2" bestFit="1" customWidth="1"/>
    <col min="12301" max="12301" width="19.7109375" style="2" customWidth="1"/>
    <col min="12302" max="12546" width="9.140625" style="2"/>
    <col min="12547" max="12547" width="5.42578125" style="2" customWidth="1"/>
    <col min="12548" max="12548" width="7" style="2" bestFit="1" customWidth="1"/>
    <col min="12549" max="12549" width="9.5703125" style="2" bestFit="1" customWidth="1"/>
    <col min="12550" max="12551" width="9.140625" style="2"/>
    <col min="12552" max="12552" width="28.5703125" style="2" customWidth="1"/>
    <col min="12553" max="12553" width="5.140625" style="2" customWidth="1"/>
    <col min="12554" max="12554" width="6.28515625" style="2" customWidth="1"/>
    <col min="12555" max="12555" width="8.28515625" style="2" bestFit="1" customWidth="1"/>
    <col min="12556" max="12556" width="9.140625" style="2" bestFit="1" customWidth="1"/>
    <col min="12557" max="12557" width="19.7109375" style="2" customWidth="1"/>
    <col min="12558" max="12802" width="9.140625" style="2"/>
    <col min="12803" max="12803" width="5.42578125" style="2" customWidth="1"/>
    <col min="12804" max="12804" width="7" style="2" bestFit="1" customWidth="1"/>
    <col min="12805" max="12805" width="9.5703125" style="2" bestFit="1" customWidth="1"/>
    <col min="12806" max="12807" width="9.140625" style="2"/>
    <col min="12808" max="12808" width="28.5703125" style="2" customWidth="1"/>
    <col min="12809" max="12809" width="5.140625" style="2" customWidth="1"/>
    <col min="12810" max="12810" width="6.28515625" style="2" customWidth="1"/>
    <col min="12811" max="12811" width="8.28515625" style="2" bestFit="1" customWidth="1"/>
    <col min="12812" max="12812" width="9.140625" style="2" bestFit="1" customWidth="1"/>
    <col min="12813" max="12813" width="19.7109375" style="2" customWidth="1"/>
    <col min="12814" max="13058" width="9.140625" style="2"/>
    <col min="13059" max="13059" width="5.42578125" style="2" customWidth="1"/>
    <col min="13060" max="13060" width="7" style="2" bestFit="1" customWidth="1"/>
    <col min="13061" max="13061" width="9.5703125" style="2" bestFit="1" customWidth="1"/>
    <col min="13062" max="13063" width="9.140625" style="2"/>
    <col min="13064" max="13064" width="28.5703125" style="2" customWidth="1"/>
    <col min="13065" max="13065" width="5.140625" style="2" customWidth="1"/>
    <col min="13066" max="13066" width="6.28515625" style="2" customWidth="1"/>
    <col min="13067" max="13067" width="8.28515625" style="2" bestFit="1" customWidth="1"/>
    <col min="13068" max="13068" width="9.140625" style="2" bestFit="1" customWidth="1"/>
    <col min="13069" max="13069" width="19.7109375" style="2" customWidth="1"/>
    <col min="13070" max="13314" width="9.140625" style="2"/>
    <col min="13315" max="13315" width="5.42578125" style="2" customWidth="1"/>
    <col min="13316" max="13316" width="7" style="2" bestFit="1" customWidth="1"/>
    <col min="13317" max="13317" width="9.5703125" style="2" bestFit="1" customWidth="1"/>
    <col min="13318" max="13319" width="9.140625" style="2"/>
    <col min="13320" max="13320" width="28.5703125" style="2" customWidth="1"/>
    <col min="13321" max="13321" width="5.140625" style="2" customWidth="1"/>
    <col min="13322" max="13322" width="6.28515625" style="2" customWidth="1"/>
    <col min="13323" max="13323" width="8.28515625" style="2" bestFit="1" customWidth="1"/>
    <col min="13324" max="13324" width="9.140625" style="2" bestFit="1" customWidth="1"/>
    <col min="13325" max="13325" width="19.7109375" style="2" customWidth="1"/>
    <col min="13326" max="13570" width="9.140625" style="2"/>
    <col min="13571" max="13571" width="5.42578125" style="2" customWidth="1"/>
    <col min="13572" max="13572" width="7" style="2" bestFit="1" customWidth="1"/>
    <col min="13573" max="13573" width="9.5703125" style="2" bestFit="1" customWidth="1"/>
    <col min="13574" max="13575" width="9.140625" style="2"/>
    <col min="13576" max="13576" width="28.5703125" style="2" customWidth="1"/>
    <col min="13577" max="13577" width="5.140625" style="2" customWidth="1"/>
    <col min="13578" max="13578" width="6.28515625" style="2" customWidth="1"/>
    <col min="13579" max="13579" width="8.28515625" style="2" bestFit="1" customWidth="1"/>
    <col min="13580" max="13580" width="9.140625" style="2" bestFit="1" customWidth="1"/>
    <col min="13581" max="13581" width="19.7109375" style="2" customWidth="1"/>
    <col min="13582" max="13826" width="9.140625" style="2"/>
    <col min="13827" max="13827" width="5.42578125" style="2" customWidth="1"/>
    <col min="13828" max="13828" width="7" style="2" bestFit="1" customWidth="1"/>
    <col min="13829" max="13829" width="9.5703125" style="2" bestFit="1" customWidth="1"/>
    <col min="13830" max="13831" width="9.140625" style="2"/>
    <col min="13832" max="13832" width="28.5703125" style="2" customWidth="1"/>
    <col min="13833" max="13833" width="5.140625" style="2" customWidth="1"/>
    <col min="13834" max="13834" width="6.28515625" style="2" customWidth="1"/>
    <col min="13835" max="13835" width="8.28515625" style="2" bestFit="1" customWidth="1"/>
    <col min="13836" max="13836" width="9.140625" style="2" bestFit="1" customWidth="1"/>
    <col min="13837" max="13837" width="19.7109375" style="2" customWidth="1"/>
    <col min="13838" max="14082" width="9.140625" style="2"/>
    <col min="14083" max="14083" width="5.42578125" style="2" customWidth="1"/>
    <col min="14084" max="14084" width="7" style="2" bestFit="1" customWidth="1"/>
    <col min="14085" max="14085" width="9.5703125" style="2" bestFit="1" customWidth="1"/>
    <col min="14086" max="14087" width="9.140625" style="2"/>
    <col min="14088" max="14088" width="28.5703125" style="2" customWidth="1"/>
    <col min="14089" max="14089" width="5.140625" style="2" customWidth="1"/>
    <col min="14090" max="14090" width="6.28515625" style="2" customWidth="1"/>
    <col min="14091" max="14091" width="8.28515625" style="2" bestFit="1" customWidth="1"/>
    <col min="14092" max="14092" width="9.140625" style="2" bestFit="1" customWidth="1"/>
    <col min="14093" max="14093" width="19.7109375" style="2" customWidth="1"/>
    <col min="14094" max="14338" width="9.140625" style="2"/>
    <col min="14339" max="14339" width="5.42578125" style="2" customWidth="1"/>
    <col min="14340" max="14340" width="7" style="2" bestFit="1" customWidth="1"/>
    <col min="14341" max="14341" width="9.5703125" style="2" bestFit="1" customWidth="1"/>
    <col min="14342" max="14343" width="9.140625" style="2"/>
    <col min="14344" max="14344" width="28.5703125" style="2" customWidth="1"/>
    <col min="14345" max="14345" width="5.140625" style="2" customWidth="1"/>
    <col min="14346" max="14346" width="6.28515625" style="2" customWidth="1"/>
    <col min="14347" max="14347" width="8.28515625" style="2" bestFit="1" customWidth="1"/>
    <col min="14348" max="14348" width="9.140625" style="2" bestFit="1" customWidth="1"/>
    <col min="14349" max="14349" width="19.7109375" style="2" customWidth="1"/>
    <col min="14350" max="14594" width="9.140625" style="2"/>
    <col min="14595" max="14595" width="5.42578125" style="2" customWidth="1"/>
    <col min="14596" max="14596" width="7" style="2" bestFit="1" customWidth="1"/>
    <col min="14597" max="14597" width="9.5703125" style="2" bestFit="1" customWidth="1"/>
    <col min="14598" max="14599" width="9.140625" style="2"/>
    <col min="14600" max="14600" width="28.5703125" style="2" customWidth="1"/>
    <col min="14601" max="14601" width="5.140625" style="2" customWidth="1"/>
    <col min="14602" max="14602" width="6.28515625" style="2" customWidth="1"/>
    <col min="14603" max="14603" width="8.28515625" style="2" bestFit="1" customWidth="1"/>
    <col min="14604" max="14604" width="9.140625" style="2" bestFit="1" customWidth="1"/>
    <col min="14605" max="14605" width="19.7109375" style="2" customWidth="1"/>
    <col min="14606" max="14850" width="9.140625" style="2"/>
    <col min="14851" max="14851" width="5.42578125" style="2" customWidth="1"/>
    <col min="14852" max="14852" width="7" style="2" bestFit="1" customWidth="1"/>
    <col min="14853" max="14853" width="9.5703125" style="2" bestFit="1" customWidth="1"/>
    <col min="14854" max="14855" width="9.140625" style="2"/>
    <col min="14856" max="14856" width="28.5703125" style="2" customWidth="1"/>
    <col min="14857" max="14857" width="5.140625" style="2" customWidth="1"/>
    <col min="14858" max="14858" width="6.28515625" style="2" customWidth="1"/>
    <col min="14859" max="14859" width="8.28515625" style="2" bestFit="1" customWidth="1"/>
    <col min="14860" max="14860" width="9.140625" style="2" bestFit="1" customWidth="1"/>
    <col min="14861" max="14861" width="19.7109375" style="2" customWidth="1"/>
    <col min="14862" max="15106" width="9.140625" style="2"/>
    <col min="15107" max="15107" width="5.42578125" style="2" customWidth="1"/>
    <col min="15108" max="15108" width="7" style="2" bestFit="1" customWidth="1"/>
    <col min="15109" max="15109" width="9.5703125" style="2" bestFit="1" customWidth="1"/>
    <col min="15110" max="15111" width="9.140625" style="2"/>
    <col min="15112" max="15112" width="28.5703125" style="2" customWidth="1"/>
    <col min="15113" max="15113" width="5.140625" style="2" customWidth="1"/>
    <col min="15114" max="15114" width="6.28515625" style="2" customWidth="1"/>
    <col min="15115" max="15115" width="8.28515625" style="2" bestFit="1" customWidth="1"/>
    <col min="15116" max="15116" width="9.140625" style="2" bestFit="1" customWidth="1"/>
    <col min="15117" max="15117" width="19.7109375" style="2" customWidth="1"/>
    <col min="15118" max="15362" width="9.140625" style="2"/>
    <col min="15363" max="15363" width="5.42578125" style="2" customWidth="1"/>
    <col min="15364" max="15364" width="7" style="2" bestFit="1" customWidth="1"/>
    <col min="15365" max="15365" width="9.5703125" style="2" bestFit="1" customWidth="1"/>
    <col min="15366" max="15367" width="9.140625" style="2"/>
    <col min="15368" max="15368" width="28.5703125" style="2" customWidth="1"/>
    <col min="15369" max="15369" width="5.140625" style="2" customWidth="1"/>
    <col min="15370" max="15370" width="6.28515625" style="2" customWidth="1"/>
    <col min="15371" max="15371" width="8.28515625" style="2" bestFit="1" customWidth="1"/>
    <col min="15372" max="15372" width="9.140625" style="2" bestFit="1" customWidth="1"/>
    <col min="15373" max="15373" width="19.7109375" style="2" customWidth="1"/>
    <col min="15374" max="15618" width="9.140625" style="2"/>
    <col min="15619" max="15619" width="5.42578125" style="2" customWidth="1"/>
    <col min="15620" max="15620" width="7" style="2" bestFit="1" customWidth="1"/>
    <col min="15621" max="15621" width="9.5703125" style="2" bestFit="1" customWidth="1"/>
    <col min="15622" max="15623" width="9.140625" style="2"/>
    <col min="15624" max="15624" width="28.5703125" style="2" customWidth="1"/>
    <col min="15625" max="15625" width="5.140625" style="2" customWidth="1"/>
    <col min="15626" max="15626" width="6.28515625" style="2" customWidth="1"/>
    <col min="15627" max="15627" width="8.28515625" style="2" bestFit="1" customWidth="1"/>
    <col min="15628" max="15628" width="9.140625" style="2" bestFit="1" customWidth="1"/>
    <col min="15629" max="15629" width="19.7109375" style="2" customWidth="1"/>
    <col min="15630" max="15874" width="9.140625" style="2"/>
    <col min="15875" max="15875" width="5.42578125" style="2" customWidth="1"/>
    <col min="15876" max="15876" width="7" style="2" bestFit="1" customWidth="1"/>
    <col min="15877" max="15877" width="9.5703125" style="2" bestFit="1" customWidth="1"/>
    <col min="15878" max="15879" width="9.140625" style="2"/>
    <col min="15880" max="15880" width="28.5703125" style="2" customWidth="1"/>
    <col min="15881" max="15881" width="5.140625" style="2" customWidth="1"/>
    <col min="15882" max="15882" width="6.28515625" style="2" customWidth="1"/>
    <col min="15883" max="15883" width="8.28515625" style="2" bestFit="1" customWidth="1"/>
    <col min="15884" max="15884" width="9.140625" style="2" bestFit="1" customWidth="1"/>
    <col min="15885" max="15885" width="19.7109375" style="2" customWidth="1"/>
    <col min="15886" max="16130" width="9.140625" style="2"/>
    <col min="16131" max="16131" width="5.42578125" style="2" customWidth="1"/>
    <col min="16132" max="16132" width="7" style="2" bestFit="1" customWidth="1"/>
    <col min="16133" max="16133" width="9.5703125" style="2" bestFit="1" customWidth="1"/>
    <col min="16134" max="16135" width="9.140625" style="2"/>
    <col min="16136" max="16136" width="28.5703125" style="2" customWidth="1"/>
    <col min="16137" max="16137" width="5.140625" style="2" customWidth="1"/>
    <col min="16138" max="16138" width="6.28515625" style="2" customWidth="1"/>
    <col min="16139" max="16139" width="8.28515625" style="2" bestFit="1" customWidth="1"/>
    <col min="16140" max="16140" width="9.140625" style="2" bestFit="1" customWidth="1"/>
    <col min="16141" max="16141" width="19.7109375" style="2" customWidth="1"/>
    <col min="16142" max="16384" width="9.140625" style="2"/>
  </cols>
  <sheetData>
    <row r="1" spans="1:15" ht="12.75" customHeight="1">
      <c r="A1" s="354"/>
      <c r="B1" s="355"/>
      <c r="C1" s="355"/>
      <c r="D1" s="355"/>
      <c r="E1" s="355"/>
      <c r="F1" s="355"/>
      <c r="G1" s="18"/>
      <c r="H1" s="18"/>
      <c r="I1" s="356" t="s">
        <v>58</v>
      </c>
      <c r="J1" s="356"/>
      <c r="K1" s="356"/>
      <c r="L1" s="357"/>
    </row>
    <row r="2" spans="1:15" s="5" customFormat="1">
      <c r="A2" s="3" t="s">
        <v>0</v>
      </c>
      <c r="B2" s="19" t="s">
        <v>36</v>
      </c>
      <c r="C2" s="24" t="s">
        <v>25</v>
      </c>
      <c r="D2" s="52" t="s">
        <v>1</v>
      </c>
      <c r="E2" s="373" t="s">
        <v>2</v>
      </c>
      <c r="F2" s="374"/>
      <c r="G2" s="19" t="s">
        <v>27</v>
      </c>
      <c r="H2" s="19" t="s">
        <v>3</v>
      </c>
      <c r="I2" s="19" t="s">
        <v>4</v>
      </c>
      <c r="J2" s="19" t="s">
        <v>5</v>
      </c>
      <c r="K2" s="19" t="s">
        <v>26</v>
      </c>
      <c r="L2" s="4" t="s">
        <v>6</v>
      </c>
      <c r="N2" s="5" t="s">
        <v>24</v>
      </c>
      <c r="O2" s="5" t="s">
        <v>23</v>
      </c>
    </row>
    <row r="3" spans="1:15" ht="75" customHeight="1">
      <c r="A3" s="6">
        <v>26</v>
      </c>
      <c r="B3" s="375">
        <v>3000070153</v>
      </c>
      <c r="C3" s="23"/>
      <c r="D3" s="21" t="s">
        <v>37</v>
      </c>
      <c r="E3" s="54" t="s">
        <v>38</v>
      </c>
      <c r="F3" s="49"/>
      <c r="G3" s="17">
        <v>0.18</v>
      </c>
      <c r="H3" s="17" t="s">
        <v>28</v>
      </c>
      <c r="I3" s="23">
        <v>5</v>
      </c>
      <c r="J3" s="16" t="s">
        <v>59</v>
      </c>
      <c r="K3" s="15">
        <v>0</v>
      </c>
      <c r="L3" s="15">
        <v>0</v>
      </c>
      <c r="M3" s="12">
        <v>0</v>
      </c>
      <c r="N3" s="13"/>
      <c r="O3" s="14"/>
    </row>
    <row r="4" spans="1:15" ht="80.25" customHeight="1">
      <c r="A4" s="6">
        <v>27</v>
      </c>
      <c r="B4" s="376"/>
      <c r="C4" s="23"/>
      <c r="D4" s="21" t="s">
        <v>39</v>
      </c>
      <c r="E4" s="54" t="s">
        <v>40</v>
      </c>
      <c r="F4" s="49"/>
      <c r="G4" s="17">
        <v>0.18</v>
      </c>
      <c r="H4" s="17" t="s">
        <v>28</v>
      </c>
      <c r="I4" s="23">
        <v>5</v>
      </c>
      <c r="J4" s="16">
        <f t="shared" ref="J4:J12" si="0">M4*1.15</f>
        <v>5750</v>
      </c>
      <c r="K4" s="15">
        <f t="shared" ref="K4:K12" si="1">J4*G4</f>
        <v>1035</v>
      </c>
      <c r="L4" s="22">
        <f t="shared" ref="L4:L12" si="2">I4*(J4+K4)</f>
        <v>33925</v>
      </c>
      <c r="M4" s="12">
        <v>5000</v>
      </c>
      <c r="N4" s="13"/>
      <c r="O4" s="14"/>
    </row>
    <row r="5" spans="1:15" ht="45" customHeight="1">
      <c r="A5" s="6">
        <v>28</v>
      </c>
      <c r="B5" s="376"/>
      <c r="C5" s="23"/>
      <c r="D5" s="21" t="s">
        <v>41</v>
      </c>
      <c r="E5" s="54" t="s">
        <v>42</v>
      </c>
      <c r="F5" s="49"/>
      <c r="G5" s="17">
        <v>0.18</v>
      </c>
      <c r="H5" s="17" t="s">
        <v>28</v>
      </c>
      <c r="I5" s="23">
        <v>5</v>
      </c>
      <c r="J5" s="16">
        <f t="shared" si="0"/>
        <v>6899.9999999999991</v>
      </c>
      <c r="K5" s="15">
        <f t="shared" si="1"/>
        <v>1241.9999999999998</v>
      </c>
      <c r="L5" s="22">
        <f t="shared" si="2"/>
        <v>40709.999999999993</v>
      </c>
      <c r="M5" s="12">
        <v>6000</v>
      </c>
      <c r="N5" s="13"/>
      <c r="O5" s="14"/>
    </row>
    <row r="6" spans="1:15" ht="91.5" customHeight="1">
      <c r="A6" s="6">
        <v>29</v>
      </c>
      <c r="B6" s="376"/>
      <c r="C6" s="23"/>
      <c r="D6" s="21" t="s">
        <v>43</v>
      </c>
      <c r="E6" s="54" t="s">
        <v>44</v>
      </c>
      <c r="F6" s="49"/>
      <c r="G6" s="17">
        <v>0.18</v>
      </c>
      <c r="H6" s="17" t="s">
        <v>28</v>
      </c>
      <c r="I6" s="23">
        <v>2</v>
      </c>
      <c r="J6" s="16">
        <f t="shared" si="0"/>
        <v>7474.9999999999991</v>
      </c>
      <c r="K6" s="15">
        <f t="shared" si="1"/>
        <v>1345.4999999999998</v>
      </c>
      <c r="L6" s="22">
        <f t="shared" si="2"/>
        <v>17640.999999999996</v>
      </c>
      <c r="M6" s="12">
        <v>6500</v>
      </c>
      <c r="N6" s="13"/>
      <c r="O6" s="14"/>
    </row>
    <row r="7" spans="1:15" ht="91.5" customHeight="1">
      <c r="A7" s="6">
        <v>30</v>
      </c>
      <c r="B7" s="376"/>
      <c r="C7" s="23"/>
      <c r="D7" s="21" t="s">
        <v>45</v>
      </c>
      <c r="E7" s="54" t="s">
        <v>46</v>
      </c>
      <c r="F7" s="49"/>
      <c r="G7" s="17">
        <v>0.18</v>
      </c>
      <c r="H7" s="17" t="s">
        <v>28</v>
      </c>
      <c r="I7" s="23">
        <v>2</v>
      </c>
      <c r="J7" s="16">
        <f t="shared" si="0"/>
        <v>7474.9999999999991</v>
      </c>
      <c r="K7" s="15">
        <f t="shared" si="1"/>
        <v>1345.4999999999998</v>
      </c>
      <c r="L7" s="22">
        <f t="shared" si="2"/>
        <v>17640.999999999996</v>
      </c>
      <c r="M7" s="12">
        <v>6500</v>
      </c>
      <c r="N7" s="13"/>
      <c r="O7" s="14"/>
    </row>
    <row r="8" spans="1:15" ht="45" customHeight="1">
      <c r="A8" s="6">
        <v>31</v>
      </c>
      <c r="B8" s="376"/>
      <c r="C8" s="23"/>
      <c r="D8" s="21" t="s">
        <v>47</v>
      </c>
      <c r="E8" s="54" t="s">
        <v>48</v>
      </c>
      <c r="F8" s="49"/>
      <c r="G8" s="17">
        <v>0.18</v>
      </c>
      <c r="H8" s="17" t="s">
        <v>28</v>
      </c>
      <c r="I8" s="23">
        <v>5</v>
      </c>
      <c r="J8" s="16">
        <f t="shared" si="0"/>
        <v>690</v>
      </c>
      <c r="K8" s="15">
        <f t="shared" si="1"/>
        <v>124.19999999999999</v>
      </c>
      <c r="L8" s="22">
        <f t="shared" si="2"/>
        <v>4071</v>
      </c>
      <c r="M8" s="12">
        <v>600</v>
      </c>
      <c r="N8" s="13"/>
      <c r="O8" s="14"/>
    </row>
    <row r="9" spans="1:15" ht="45" customHeight="1">
      <c r="A9" s="6">
        <v>32</v>
      </c>
      <c r="B9" s="376"/>
      <c r="C9" s="23"/>
      <c r="D9" s="21" t="s">
        <v>49</v>
      </c>
      <c r="E9" s="54" t="s">
        <v>50</v>
      </c>
      <c r="F9" s="49"/>
      <c r="G9" s="17">
        <v>0.18</v>
      </c>
      <c r="H9" s="17" t="s">
        <v>28</v>
      </c>
      <c r="I9" s="23">
        <v>5</v>
      </c>
      <c r="J9" s="16" t="s">
        <v>59</v>
      </c>
      <c r="K9" s="15">
        <v>0</v>
      </c>
      <c r="L9" s="15">
        <v>0</v>
      </c>
      <c r="M9" s="12"/>
      <c r="N9" s="13"/>
      <c r="O9" s="14"/>
    </row>
    <row r="10" spans="1:15" ht="45" customHeight="1">
      <c r="A10" s="6">
        <v>33</v>
      </c>
      <c r="B10" s="376"/>
      <c r="C10" s="23"/>
      <c r="D10" s="21" t="s">
        <v>51</v>
      </c>
      <c r="E10" s="54" t="s">
        <v>52</v>
      </c>
      <c r="F10" s="49"/>
      <c r="G10" s="17">
        <v>0.18</v>
      </c>
      <c r="H10" s="17" t="s">
        <v>28</v>
      </c>
      <c r="I10" s="23">
        <v>5</v>
      </c>
      <c r="J10" s="16">
        <f t="shared" si="0"/>
        <v>2277</v>
      </c>
      <c r="K10" s="15">
        <f t="shared" si="1"/>
        <v>409.85999999999996</v>
      </c>
      <c r="L10" s="22">
        <f t="shared" si="2"/>
        <v>13434.300000000001</v>
      </c>
      <c r="M10" s="12">
        <v>1980</v>
      </c>
      <c r="N10" s="13"/>
      <c r="O10" s="14"/>
    </row>
    <row r="11" spans="1:15" ht="45" customHeight="1">
      <c r="A11" s="6">
        <v>34</v>
      </c>
      <c r="B11" s="376"/>
      <c r="C11" s="23"/>
      <c r="D11" s="21" t="s">
        <v>53</v>
      </c>
      <c r="E11" s="54" t="s">
        <v>54</v>
      </c>
      <c r="F11" s="49"/>
      <c r="G11" s="17">
        <v>0.18</v>
      </c>
      <c r="H11" s="17" t="s">
        <v>28</v>
      </c>
      <c r="I11" s="23">
        <v>5</v>
      </c>
      <c r="J11" s="16">
        <f t="shared" si="0"/>
        <v>3219.9999999999995</v>
      </c>
      <c r="K11" s="15">
        <f t="shared" si="1"/>
        <v>579.59999999999991</v>
      </c>
      <c r="L11" s="22">
        <f t="shared" si="2"/>
        <v>18997.999999999996</v>
      </c>
      <c r="M11" s="12">
        <v>2800</v>
      </c>
      <c r="N11" s="13"/>
      <c r="O11" s="14"/>
    </row>
    <row r="12" spans="1:15" ht="45" customHeight="1">
      <c r="A12" s="6">
        <v>35</v>
      </c>
      <c r="B12" s="377"/>
      <c r="C12" s="23"/>
      <c r="D12" s="21" t="s">
        <v>55</v>
      </c>
      <c r="E12" s="54" t="s">
        <v>56</v>
      </c>
      <c r="F12" s="49"/>
      <c r="G12" s="17">
        <v>0.18</v>
      </c>
      <c r="H12" s="17" t="s">
        <v>28</v>
      </c>
      <c r="I12" s="23">
        <v>2</v>
      </c>
      <c r="J12" s="16">
        <f t="shared" si="0"/>
        <v>6209.9999999999991</v>
      </c>
      <c r="K12" s="15">
        <f t="shared" si="1"/>
        <v>1117.7999999999997</v>
      </c>
      <c r="L12" s="22">
        <f t="shared" si="2"/>
        <v>14655.599999999999</v>
      </c>
      <c r="M12" s="12">
        <v>5400</v>
      </c>
      <c r="N12" s="13"/>
      <c r="O12" s="14"/>
    </row>
    <row r="13" spans="1:15" s="1" customFormat="1">
      <c r="A13" s="11" t="s">
        <v>29</v>
      </c>
      <c r="B13" s="362"/>
      <c r="C13" s="362"/>
      <c r="D13" s="362"/>
      <c r="E13" s="362"/>
      <c r="F13" s="362"/>
      <c r="G13" s="362"/>
      <c r="H13" s="362"/>
      <c r="I13" s="362"/>
      <c r="J13" s="362"/>
      <c r="K13" s="362"/>
      <c r="L13" s="363"/>
    </row>
    <row r="14" spans="1:15" s="1" customFormat="1">
      <c r="A14" s="364" t="s">
        <v>7</v>
      </c>
      <c r="B14" s="365"/>
      <c r="C14" s="365"/>
      <c r="D14" s="365"/>
      <c r="E14" s="365"/>
      <c r="F14" s="365"/>
      <c r="G14" s="365"/>
      <c r="H14" s="365"/>
      <c r="I14" s="365"/>
      <c r="J14" s="365"/>
      <c r="K14" s="365"/>
      <c r="L14" s="366"/>
    </row>
    <row r="15" spans="1:15" s="1" customFormat="1">
      <c r="A15" s="8">
        <v>1</v>
      </c>
      <c r="B15" s="367" t="s">
        <v>8</v>
      </c>
      <c r="C15" s="367"/>
      <c r="D15" s="2" t="s">
        <v>60</v>
      </c>
      <c r="E15" s="367" t="s">
        <v>61</v>
      </c>
      <c r="F15" s="367"/>
      <c r="G15" s="367"/>
      <c r="H15" s="367"/>
      <c r="I15" s="367"/>
      <c r="J15" s="367"/>
      <c r="K15" s="367"/>
      <c r="L15" s="368"/>
    </row>
    <row r="16" spans="1:15" s="1" customFormat="1">
      <c r="A16" s="8">
        <v>2</v>
      </c>
      <c r="B16" s="367" t="s">
        <v>10</v>
      </c>
      <c r="C16" s="367"/>
      <c r="D16" s="7">
        <v>8</v>
      </c>
      <c r="E16" s="367" t="s">
        <v>11</v>
      </c>
      <c r="F16" s="367"/>
      <c r="G16" s="367"/>
      <c r="H16" s="367"/>
      <c r="I16" s="367"/>
      <c r="J16" s="367"/>
      <c r="K16" s="367"/>
      <c r="L16" s="368"/>
    </row>
    <row r="17" spans="1:12" s="1" customFormat="1">
      <c r="A17" s="8">
        <v>3</v>
      </c>
      <c r="B17" s="367" t="s">
        <v>12</v>
      </c>
      <c r="C17" s="367"/>
      <c r="D17" s="2"/>
      <c r="E17" s="367" t="s">
        <v>13</v>
      </c>
      <c r="F17" s="367"/>
      <c r="G17" s="367"/>
      <c r="H17" s="367"/>
      <c r="I17" s="367"/>
      <c r="J17" s="367"/>
      <c r="K17" s="367"/>
      <c r="L17" s="368"/>
    </row>
    <row r="18" spans="1:12" s="1" customFormat="1">
      <c r="A18" s="8">
        <v>4</v>
      </c>
      <c r="B18" s="367" t="s">
        <v>14</v>
      </c>
      <c r="C18" s="367"/>
      <c r="D18" s="2"/>
      <c r="E18" s="367" t="s">
        <v>15</v>
      </c>
      <c r="F18" s="367"/>
      <c r="G18" s="367"/>
      <c r="H18" s="367"/>
      <c r="I18" s="367"/>
      <c r="J18" s="367"/>
      <c r="K18" s="367"/>
      <c r="L18" s="368"/>
    </row>
    <row r="19" spans="1:12" s="1" customFormat="1">
      <c r="A19" s="8">
        <v>5</v>
      </c>
      <c r="B19" s="367" t="s">
        <v>16</v>
      </c>
      <c r="C19" s="367"/>
      <c r="D19" s="2"/>
      <c r="E19" s="367" t="s">
        <v>22</v>
      </c>
      <c r="F19" s="367"/>
      <c r="G19" s="367"/>
      <c r="H19" s="367"/>
      <c r="I19" s="367"/>
      <c r="J19" s="367"/>
      <c r="K19" s="367"/>
      <c r="L19" s="368"/>
    </row>
    <row r="20" spans="1:12" s="1" customFormat="1">
      <c r="A20" s="8">
        <v>6</v>
      </c>
      <c r="B20" s="367" t="s">
        <v>17</v>
      </c>
      <c r="C20" s="367"/>
      <c r="D20" s="7" t="s">
        <v>18</v>
      </c>
      <c r="E20" s="369" t="s">
        <v>57</v>
      </c>
      <c r="F20" s="369"/>
      <c r="G20" s="369"/>
      <c r="H20" s="369"/>
      <c r="I20" s="369"/>
      <c r="J20" s="369"/>
      <c r="K20" s="369"/>
      <c r="L20" s="372"/>
    </row>
    <row r="21" spans="1:12" s="1" customFormat="1">
      <c r="A21" s="8">
        <v>7</v>
      </c>
      <c r="B21" s="367" t="s">
        <v>19</v>
      </c>
      <c r="C21" s="367"/>
      <c r="D21" s="367"/>
      <c r="E21" s="367"/>
      <c r="F21" s="367"/>
      <c r="G21" s="367"/>
      <c r="H21" s="367"/>
      <c r="I21" s="367"/>
      <c r="J21" s="367"/>
      <c r="K21" s="367"/>
      <c r="L21" s="368"/>
    </row>
    <row r="22" spans="1:12" s="1" customFormat="1" ht="13.5" thickBot="1">
      <c r="A22" s="9">
        <v>8</v>
      </c>
      <c r="B22" s="370" t="s">
        <v>20</v>
      </c>
      <c r="C22" s="370"/>
      <c r="D22" s="370"/>
      <c r="E22" s="370"/>
      <c r="F22" s="370"/>
      <c r="G22" s="370"/>
      <c r="H22" s="370"/>
      <c r="I22" s="370"/>
      <c r="J22" s="370"/>
      <c r="K22" s="370"/>
      <c r="L22" s="371"/>
    </row>
  </sheetData>
  <mergeCells count="20">
    <mergeCell ref="A1:F1"/>
    <mergeCell ref="I1:L1"/>
    <mergeCell ref="B13:L13"/>
    <mergeCell ref="A14:L14"/>
    <mergeCell ref="B15:C15"/>
    <mergeCell ref="E15:L15"/>
    <mergeCell ref="E2:F2"/>
    <mergeCell ref="B3:B12"/>
    <mergeCell ref="B22:L22"/>
    <mergeCell ref="B18:C18"/>
    <mergeCell ref="E18:L18"/>
    <mergeCell ref="B19:C19"/>
    <mergeCell ref="E19:L19"/>
    <mergeCell ref="B20:C20"/>
    <mergeCell ref="E20:L20"/>
    <mergeCell ref="B17:C17"/>
    <mergeCell ref="E17:L17"/>
    <mergeCell ref="B16:C16"/>
    <mergeCell ref="E16:L16"/>
    <mergeCell ref="B21:L21"/>
  </mergeCells>
  <printOptions horizontalCentered="1"/>
  <pageMargins left="0.25" right="0.25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N13"/>
  <sheetViews>
    <sheetView workbookViewId="0">
      <selection activeCell="A3" sqref="A3:H13"/>
    </sheetView>
  </sheetViews>
  <sheetFormatPr defaultColWidth="9.140625" defaultRowHeight="12.75"/>
  <cols>
    <col min="1" max="1" width="5.85546875" style="30" bestFit="1" customWidth="1"/>
    <col min="2" max="2" width="12.5703125" style="30" customWidth="1"/>
    <col min="3" max="3" width="11" style="30" bestFit="1" customWidth="1"/>
    <col min="4" max="4" width="54.28515625" style="30" customWidth="1"/>
    <col min="5" max="5" width="5" style="30" bestFit="1" customWidth="1"/>
    <col min="6" max="6" width="6.28515625" style="30" bestFit="1" customWidth="1"/>
    <col min="7" max="7" width="12.85546875" style="30" bestFit="1" customWidth="1"/>
    <col min="8" max="8" width="18.28515625" style="30" bestFit="1" customWidth="1"/>
    <col min="9" max="9" width="9.140625" style="30"/>
    <col min="10" max="10" width="9.140625" style="31"/>
    <col min="11" max="16384" width="9.140625" style="30"/>
  </cols>
  <sheetData>
    <row r="1" spans="1:14">
      <c r="A1" s="26" t="s">
        <v>62</v>
      </c>
      <c r="B1" s="27" t="s">
        <v>63</v>
      </c>
      <c r="C1" s="27" t="s">
        <v>91</v>
      </c>
      <c r="D1" s="28"/>
      <c r="E1" s="26"/>
      <c r="F1" s="27"/>
      <c r="G1" s="27" t="s">
        <v>64</v>
      </c>
      <c r="H1" s="29">
        <v>3701</v>
      </c>
    </row>
    <row r="2" spans="1:14">
      <c r="A2" s="32"/>
      <c r="B2" s="33" t="s">
        <v>65</v>
      </c>
      <c r="C2" s="34">
        <v>43575</v>
      </c>
      <c r="D2" s="35"/>
      <c r="E2" s="32"/>
      <c r="F2" s="33"/>
      <c r="G2" s="33" t="s">
        <v>66</v>
      </c>
      <c r="H2" s="36">
        <v>43579</v>
      </c>
    </row>
    <row r="3" spans="1:14" ht="25.5">
      <c r="A3" s="37" t="s">
        <v>0</v>
      </c>
      <c r="B3" s="37" t="s">
        <v>81</v>
      </c>
      <c r="C3" s="38" t="s">
        <v>82</v>
      </c>
      <c r="D3" s="38" t="s">
        <v>67</v>
      </c>
      <c r="E3" s="38" t="s">
        <v>3</v>
      </c>
      <c r="F3" s="38" t="s">
        <v>68</v>
      </c>
      <c r="G3" s="39" t="s">
        <v>69</v>
      </c>
      <c r="H3" s="39" t="s">
        <v>70</v>
      </c>
      <c r="J3" s="40" t="s">
        <v>71</v>
      </c>
      <c r="K3" s="30" t="s">
        <v>72</v>
      </c>
      <c r="L3" s="30" t="s">
        <v>73</v>
      </c>
      <c r="N3" s="30" t="s">
        <v>74</v>
      </c>
    </row>
    <row r="4" spans="1:14" ht="25.5">
      <c r="A4" s="41">
        <v>1</v>
      </c>
      <c r="B4" s="383">
        <v>3000070098</v>
      </c>
      <c r="C4" s="42" t="s">
        <v>83</v>
      </c>
      <c r="D4" s="42" t="s">
        <v>84</v>
      </c>
      <c r="E4" s="43" t="s">
        <v>75</v>
      </c>
      <c r="F4" s="41">
        <v>1</v>
      </c>
      <c r="G4" s="44">
        <f>J4*73*1.3</f>
        <v>493480</v>
      </c>
      <c r="H4" s="45">
        <f>G4*F4</f>
        <v>493480</v>
      </c>
      <c r="J4" s="31">
        <v>5200</v>
      </c>
    </row>
    <row r="5" spans="1:14" ht="25.5">
      <c r="A5" s="41">
        <v>2</v>
      </c>
      <c r="B5" s="384"/>
      <c r="C5" s="42" t="s">
        <v>85</v>
      </c>
      <c r="D5" s="42" t="s">
        <v>86</v>
      </c>
      <c r="E5" s="43" t="s">
        <v>75</v>
      </c>
      <c r="F5" s="41">
        <v>10</v>
      </c>
      <c r="G5" s="44">
        <f>J5*73*1.3</f>
        <v>265720</v>
      </c>
      <c r="H5" s="45">
        <f>G5*F5</f>
        <v>2657200</v>
      </c>
      <c r="J5" s="31">
        <v>2800</v>
      </c>
    </row>
    <row r="6" spans="1:14" ht="25.5">
      <c r="A6" s="41">
        <v>3</v>
      </c>
      <c r="B6" s="384"/>
      <c r="C6" s="42" t="s">
        <v>87</v>
      </c>
      <c r="D6" s="42" t="s">
        <v>88</v>
      </c>
      <c r="E6" s="43" t="s">
        <v>75</v>
      </c>
      <c r="F6" s="41">
        <v>4</v>
      </c>
      <c r="G6" s="44" t="s">
        <v>116</v>
      </c>
      <c r="H6" s="45">
        <v>0</v>
      </c>
    </row>
    <row r="7" spans="1:14" ht="25.5">
      <c r="A7" s="41">
        <v>4</v>
      </c>
      <c r="B7" s="385"/>
      <c r="C7" s="42" t="s">
        <v>89</v>
      </c>
      <c r="D7" s="42" t="s">
        <v>90</v>
      </c>
      <c r="E7" s="43" t="s">
        <v>75</v>
      </c>
      <c r="F7" s="41">
        <v>1</v>
      </c>
      <c r="G7" s="44" t="s">
        <v>116</v>
      </c>
      <c r="H7" s="45">
        <v>0</v>
      </c>
    </row>
    <row r="8" spans="1:14">
      <c r="A8" s="41">
        <v>5</v>
      </c>
      <c r="B8" s="386" t="s">
        <v>76</v>
      </c>
      <c r="C8" s="386"/>
      <c r="D8" s="386"/>
      <c r="E8" s="386"/>
      <c r="F8" s="386"/>
      <c r="G8" s="386"/>
      <c r="H8" s="46">
        <f>SUM(H4:H7)</f>
        <v>3150680</v>
      </c>
    </row>
    <row r="9" spans="1:14">
      <c r="A9" s="41">
        <v>6</v>
      </c>
      <c r="B9" s="386" t="s">
        <v>77</v>
      </c>
      <c r="C9" s="386"/>
      <c r="D9" s="386"/>
      <c r="E9" s="386"/>
      <c r="F9" s="386"/>
      <c r="G9" s="386"/>
      <c r="H9" s="46">
        <f>H8*18%</f>
        <v>567122.4</v>
      </c>
    </row>
    <row r="10" spans="1:14">
      <c r="A10" s="41">
        <v>7</v>
      </c>
      <c r="B10" s="386" t="s">
        <v>78</v>
      </c>
      <c r="C10" s="386"/>
      <c r="D10" s="386"/>
      <c r="E10" s="386"/>
      <c r="F10" s="386"/>
      <c r="G10" s="386"/>
      <c r="H10" s="46">
        <v>1500</v>
      </c>
    </row>
    <row r="11" spans="1:14">
      <c r="A11" s="41">
        <v>8</v>
      </c>
      <c r="B11" s="386" t="s">
        <v>79</v>
      </c>
      <c r="C11" s="386"/>
      <c r="D11" s="386"/>
      <c r="E11" s="386"/>
      <c r="F11" s="386"/>
      <c r="G11" s="386"/>
      <c r="H11" s="46">
        <f>SUM(H8:H10)</f>
        <v>3719302.4</v>
      </c>
    </row>
    <row r="12" spans="1:14">
      <c r="A12" s="378"/>
      <c r="B12" s="379"/>
      <c r="C12" s="379"/>
      <c r="D12" s="379"/>
      <c r="E12" s="379"/>
      <c r="F12" s="379"/>
      <c r="G12" s="379"/>
      <c r="H12" s="380"/>
    </row>
    <row r="13" spans="1:14" ht="153" customHeight="1">
      <c r="A13" s="47" t="s">
        <v>80</v>
      </c>
      <c r="B13" s="381" t="s">
        <v>92</v>
      </c>
      <c r="C13" s="381"/>
      <c r="D13" s="381"/>
      <c r="E13" s="381"/>
      <c r="F13" s="381"/>
      <c r="G13" s="381"/>
      <c r="H13" s="382"/>
    </row>
  </sheetData>
  <mergeCells count="7">
    <mergeCell ref="A12:H12"/>
    <mergeCell ref="B13:H13"/>
    <mergeCell ref="B4:B7"/>
    <mergeCell ref="B8:G8"/>
    <mergeCell ref="B9:G9"/>
    <mergeCell ref="B10:G10"/>
    <mergeCell ref="B11:G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O16"/>
  <sheetViews>
    <sheetView topLeftCell="A7" workbookViewId="0">
      <selection activeCell="H10" sqref="H10"/>
    </sheetView>
  </sheetViews>
  <sheetFormatPr defaultColWidth="9.140625" defaultRowHeight="12.75"/>
  <cols>
    <col min="1" max="1" width="5.85546875" style="30" bestFit="1" customWidth="1"/>
    <col min="2" max="2" width="12.5703125" style="30" customWidth="1"/>
    <col min="3" max="3" width="11" style="30" bestFit="1" customWidth="1"/>
    <col min="4" max="4" width="54.28515625" style="30" customWidth="1"/>
    <col min="5" max="6" width="5" style="30" bestFit="1" customWidth="1"/>
    <col min="7" max="7" width="6.28515625" style="30" bestFit="1" customWidth="1"/>
    <col min="8" max="8" width="12.85546875" style="30" bestFit="1" customWidth="1"/>
    <col min="9" max="9" width="18.28515625" style="30" bestFit="1" customWidth="1"/>
    <col min="10" max="10" width="9.140625" style="30"/>
    <col min="11" max="11" width="10.28515625" style="31" bestFit="1" customWidth="1"/>
    <col min="12" max="16384" width="9.140625" style="30"/>
  </cols>
  <sheetData>
    <row r="1" spans="1:15" ht="30" customHeight="1">
      <c r="A1" s="26" t="s">
        <v>62</v>
      </c>
      <c r="B1" s="27" t="s">
        <v>63</v>
      </c>
      <c r="C1" s="387" t="s">
        <v>93</v>
      </c>
      <c r="D1" s="388"/>
      <c r="E1" s="26"/>
      <c r="F1" s="26"/>
      <c r="G1" s="27"/>
      <c r="H1" s="27" t="s">
        <v>64</v>
      </c>
      <c r="I1" s="29">
        <v>303</v>
      </c>
    </row>
    <row r="2" spans="1:15">
      <c r="A2" s="32"/>
      <c r="B2" s="33" t="s">
        <v>65</v>
      </c>
      <c r="C2" s="34">
        <v>43575</v>
      </c>
      <c r="D2" s="35"/>
      <c r="E2" s="32"/>
      <c r="F2" s="32"/>
      <c r="G2" s="33"/>
      <c r="H2" s="33" t="s">
        <v>66</v>
      </c>
      <c r="I2" s="36">
        <v>43579</v>
      </c>
    </row>
    <row r="3" spans="1:15" ht="25.5">
      <c r="A3" s="37" t="s">
        <v>0</v>
      </c>
      <c r="B3" s="37" t="s">
        <v>81</v>
      </c>
      <c r="C3" s="38" t="s">
        <v>82</v>
      </c>
      <c r="D3" s="38" t="s">
        <v>67</v>
      </c>
      <c r="E3" s="38" t="s">
        <v>25</v>
      </c>
      <c r="F3" s="38" t="s">
        <v>3</v>
      </c>
      <c r="G3" s="38" t="s">
        <v>68</v>
      </c>
      <c r="H3" s="39" t="s">
        <v>69</v>
      </c>
      <c r="I3" s="39" t="s">
        <v>70</v>
      </c>
      <c r="K3" s="40" t="s">
        <v>71</v>
      </c>
      <c r="L3" s="30" t="s">
        <v>72</v>
      </c>
      <c r="M3" s="30" t="s">
        <v>73</v>
      </c>
      <c r="O3" s="30" t="s">
        <v>74</v>
      </c>
    </row>
    <row r="4" spans="1:15" ht="51">
      <c r="A4" s="41">
        <v>1</v>
      </c>
      <c r="B4" s="48">
        <v>3000070909</v>
      </c>
      <c r="C4" s="42" t="s">
        <v>94</v>
      </c>
      <c r="D4" s="42" t="s">
        <v>95</v>
      </c>
      <c r="E4" s="43">
        <v>9031</v>
      </c>
      <c r="F4" s="43" t="s">
        <v>75</v>
      </c>
      <c r="G4" s="41">
        <v>10</v>
      </c>
      <c r="H4" s="44">
        <f>K4*1.1</f>
        <v>18480</v>
      </c>
      <c r="I4" s="45">
        <f t="shared" ref="I4:I10" si="0">H4*G4</f>
        <v>184800</v>
      </c>
      <c r="K4" s="44">
        <f>240*70</f>
        <v>16800</v>
      </c>
    </row>
    <row r="5" spans="1:15" ht="25.5">
      <c r="A5" s="41">
        <v>2</v>
      </c>
      <c r="B5" s="48">
        <v>3000070158</v>
      </c>
      <c r="C5" s="42" t="s">
        <v>146</v>
      </c>
      <c r="D5" s="42" t="s">
        <v>147</v>
      </c>
      <c r="E5" s="43">
        <v>8544</v>
      </c>
      <c r="F5" s="43" t="s">
        <v>75</v>
      </c>
      <c r="G5" s="41">
        <v>10</v>
      </c>
      <c r="H5" s="44">
        <f t="shared" ref="H5:H10" si="1">K5*1.1</f>
        <v>416.35</v>
      </c>
      <c r="I5" s="45">
        <f>H5*G5</f>
        <v>4163.5</v>
      </c>
      <c r="K5" s="44">
        <v>378.5</v>
      </c>
    </row>
    <row r="6" spans="1:15" ht="38.25">
      <c r="A6" s="41">
        <v>3</v>
      </c>
      <c r="B6" s="48">
        <v>3000070158</v>
      </c>
      <c r="C6" s="42" t="s">
        <v>148</v>
      </c>
      <c r="D6" s="42" t="s">
        <v>149</v>
      </c>
      <c r="E6" s="43">
        <v>8544</v>
      </c>
      <c r="F6" s="43" t="s">
        <v>75</v>
      </c>
      <c r="G6" s="41">
        <v>5</v>
      </c>
      <c r="H6" s="44">
        <f t="shared" si="1"/>
        <v>2656.5</v>
      </c>
      <c r="I6" s="45">
        <f t="shared" si="0"/>
        <v>13282.5</v>
      </c>
      <c r="K6" s="44">
        <v>2415</v>
      </c>
    </row>
    <row r="7" spans="1:15" ht="38.25">
      <c r="A7" s="41">
        <v>4</v>
      </c>
      <c r="B7" s="48">
        <v>3000070158</v>
      </c>
      <c r="C7" s="42" t="s">
        <v>150</v>
      </c>
      <c r="D7" s="42" t="s">
        <v>151</v>
      </c>
      <c r="E7" s="43">
        <v>8544</v>
      </c>
      <c r="F7" s="43" t="s">
        <v>75</v>
      </c>
      <c r="G7" s="41">
        <v>5</v>
      </c>
      <c r="H7" s="44">
        <f t="shared" si="1"/>
        <v>2656.5</v>
      </c>
      <c r="I7" s="45">
        <f t="shared" si="0"/>
        <v>13282.5</v>
      </c>
      <c r="K7" s="44">
        <v>2415</v>
      </c>
    </row>
    <row r="8" spans="1:15" ht="25.5">
      <c r="A8" s="41">
        <v>5</v>
      </c>
      <c r="B8" s="48">
        <v>3000070158</v>
      </c>
      <c r="C8" s="42" t="s">
        <v>152</v>
      </c>
      <c r="D8" s="42" t="s">
        <v>153</v>
      </c>
      <c r="E8" s="43">
        <v>8517</v>
      </c>
      <c r="F8" s="43" t="s">
        <v>75</v>
      </c>
      <c r="G8" s="41">
        <v>5</v>
      </c>
      <c r="H8" s="44">
        <f t="shared" si="1"/>
        <v>50600.000000000007</v>
      </c>
      <c r="I8" s="45">
        <f t="shared" si="0"/>
        <v>253000.00000000003</v>
      </c>
      <c r="K8" s="44">
        <v>46000</v>
      </c>
    </row>
    <row r="9" spans="1:15" ht="25.5">
      <c r="A9" s="41">
        <v>6</v>
      </c>
      <c r="B9" s="48">
        <v>3000070158</v>
      </c>
      <c r="C9" s="42" t="s">
        <v>154</v>
      </c>
      <c r="D9" s="42" t="s">
        <v>155</v>
      </c>
      <c r="E9" s="43">
        <v>8544</v>
      </c>
      <c r="F9" s="43" t="s">
        <v>75</v>
      </c>
      <c r="G9" s="41">
        <v>10</v>
      </c>
      <c r="H9" s="44">
        <f t="shared" si="1"/>
        <v>3415.5000000000005</v>
      </c>
      <c r="I9" s="45">
        <f t="shared" si="0"/>
        <v>34155.000000000007</v>
      </c>
      <c r="K9" s="44">
        <v>3105</v>
      </c>
    </row>
    <row r="10" spans="1:15" ht="38.25">
      <c r="A10" s="41">
        <v>7</v>
      </c>
      <c r="B10" s="48">
        <v>3000070158</v>
      </c>
      <c r="C10" s="42" t="s">
        <v>156</v>
      </c>
      <c r="D10" s="42" t="s">
        <v>157</v>
      </c>
      <c r="E10" s="43">
        <v>8544</v>
      </c>
      <c r="F10" s="43" t="s">
        <v>75</v>
      </c>
      <c r="G10" s="41">
        <v>10</v>
      </c>
      <c r="H10" s="44">
        <f t="shared" si="1"/>
        <v>3668.5000000000005</v>
      </c>
      <c r="I10" s="45">
        <f t="shared" si="0"/>
        <v>36685.000000000007</v>
      </c>
      <c r="K10" s="44">
        <v>3335</v>
      </c>
    </row>
    <row r="11" spans="1:15">
      <c r="A11" s="41">
        <v>8</v>
      </c>
      <c r="B11" s="386" t="s">
        <v>76</v>
      </c>
      <c r="C11" s="386"/>
      <c r="D11" s="386"/>
      <c r="E11" s="386"/>
      <c r="F11" s="386"/>
      <c r="G11" s="386"/>
      <c r="H11" s="386"/>
      <c r="I11" s="46">
        <f>SUM(I4:I10)</f>
        <v>539368.5</v>
      </c>
    </row>
    <row r="12" spans="1:15">
      <c r="A12" s="41">
        <v>9</v>
      </c>
      <c r="B12" s="386" t="s">
        <v>158</v>
      </c>
      <c r="C12" s="386"/>
      <c r="D12" s="386"/>
      <c r="E12" s="386"/>
      <c r="F12" s="386"/>
      <c r="G12" s="386"/>
      <c r="H12" s="386"/>
      <c r="I12" s="46">
        <f>I11*18%</f>
        <v>97086.33</v>
      </c>
    </row>
    <row r="13" spans="1:15">
      <c r="A13" s="41">
        <v>10</v>
      </c>
      <c r="B13" s="386" t="s">
        <v>78</v>
      </c>
      <c r="C13" s="386"/>
      <c r="D13" s="386"/>
      <c r="E13" s="386"/>
      <c r="F13" s="386"/>
      <c r="G13" s="386"/>
      <c r="H13" s="386"/>
      <c r="I13" s="46">
        <v>2500</v>
      </c>
    </row>
    <row r="14" spans="1:15">
      <c r="A14" s="41">
        <v>11</v>
      </c>
      <c r="B14" s="386" t="s">
        <v>79</v>
      </c>
      <c r="C14" s="386"/>
      <c r="D14" s="386"/>
      <c r="E14" s="386"/>
      <c r="F14" s="386"/>
      <c r="G14" s="386"/>
      <c r="H14" s="386"/>
      <c r="I14" s="46">
        <f>SUM(I11:I13)</f>
        <v>638954.82999999996</v>
      </c>
    </row>
    <row r="15" spans="1:15">
      <c r="A15" s="378"/>
      <c r="B15" s="379"/>
      <c r="C15" s="379"/>
      <c r="D15" s="379"/>
      <c r="E15" s="379"/>
      <c r="F15" s="379"/>
      <c r="G15" s="379"/>
      <c r="H15" s="379"/>
      <c r="I15" s="380"/>
    </row>
    <row r="16" spans="1:15" ht="153" customHeight="1">
      <c r="A16" s="47" t="s">
        <v>80</v>
      </c>
      <c r="B16" s="381" t="s">
        <v>159</v>
      </c>
      <c r="C16" s="381"/>
      <c r="D16" s="381"/>
      <c r="E16" s="381"/>
      <c r="F16" s="381"/>
      <c r="G16" s="381"/>
      <c r="H16" s="381"/>
      <c r="I16" s="382"/>
    </row>
  </sheetData>
  <mergeCells count="7">
    <mergeCell ref="A15:I15"/>
    <mergeCell ref="B16:I16"/>
    <mergeCell ref="C1:D1"/>
    <mergeCell ref="B11:H11"/>
    <mergeCell ref="B12:H12"/>
    <mergeCell ref="B13:H13"/>
    <mergeCell ref="B14:H14"/>
  </mergeCells>
  <pageMargins left="0.7" right="0.7" top="0.75" bottom="0.75" header="0.3" footer="0.3"/>
  <pageSetup orientation="portrait" horizontalDpi="4294967292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N19"/>
  <sheetViews>
    <sheetView topLeftCell="A8" workbookViewId="0">
      <selection activeCell="B8" sqref="B8"/>
    </sheetView>
  </sheetViews>
  <sheetFormatPr defaultColWidth="9.140625" defaultRowHeight="12.75"/>
  <cols>
    <col min="1" max="1" width="5.85546875" style="30" bestFit="1" customWidth="1"/>
    <col min="2" max="2" width="12.5703125" style="30" customWidth="1"/>
    <col min="3" max="3" width="11" style="30" bestFit="1" customWidth="1"/>
    <col min="4" max="4" width="54.28515625" style="30" customWidth="1"/>
    <col min="5" max="5" width="5" style="30" bestFit="1" customWidth="1"/>
    <col min="6" max="6" width="6.28515625" style="30" bestFit="1" customWidth="1"/>
    <col min="7" max="7" width="12.85546875" style="30" bestFit="1" customWidth="1"/>
    <col min="8" max="8" width="18.28515625" style="30" bestFit="1" customWidth="1"/>
    <col min="9" max="9" width="9.140625" style="30"/>
    <col min="10" max="10" width="9.140625" style="31"/>
    <col min="11" max="16384" width="9.140625" style="30"/>
  </cols>
  <sheetData>
    <row r="1" spans="1:14">
      <c r="A1" s="26" t="s">
        <v>62</v>
      </c>
      <c r="B1" s="27" t="s">
        <v>63</v>
      </c>
      <c r="C1" s="387" t="s">
        <v>106</v>
      </c>
      <c r="D1" s="388"/>
      <c r="E1" s="26"/>
      <c r="F1" s="27"/>
      <c r="G1" s="27" t="s">
        <v>64</v>
      </c>
      <c r="H1" s="29">
        <v>303</v>
      </c>
    </row>
    <row r="2" spans="1:14">
      <c r="A2" s="32"/>
      <c r="B2" s="33" t="s">
        <v>65</v>
      </c>
      <c r="C2" s="34">
        <v>43584</v>
      </c>
      <c r="D2" s="35"/>
      <c r="E2" s="32"/>
      <c r="F2" s="33"/>
      <c r="G2" s="33" t="s">
        <v>66</v>
      </c>
      <c r="H2" s="36">
        <v>43579</v>
      </c>
    </row>
    <row r="3" spans="1:14" ht="25.5">
      <c r="A3" s="37" t="s">
        <v>0</v>
      </c>
      <c r="B3" s="38" t="s">
        <v>82</v>
      </c>
      <c r="C3" s="38" t="s">
        <v>25</v>
      </c>
      <c r="D3" s="38" t="s">
        <v>67</v>
      </c>
      <c r="E3" s="38" t="s">
        <v>3</v>
      </c>
      <c r="F3" s="38" t="s">
        <v>68</v>
      </c>
      <c r="G3" s="39" t="s">
        <v>69</v>
      </c>
      <c r="H3" s="39" t="s">
        <v>70</v>
      </c>
      <c r="J3" s="40" t="s">
        <v>71</v>
      </c>
      <c r="K3" s="30" t="s">
        <v>72</v>
      </c>
      <c r="L3" s="30" t="s">
        <v>73</v>
      </c>
      <c r="N3" s="30" t="s">
        <v>74</v>
      </c>
    </row>
    <row r="4" spans="1:14" ht="38.25">
      <c r="A4" s="41">
        <v>1</v>
      </c>
      <c r="B4" s="21" t="s">
        <v>37</v>
      </c>
      <c r="C4" s="43">
        <v>8536</v>
      </c>
      <c r="D4" s="42" t="s">
        <v>38</v>
      </c>
      <c r="E4" s="51" t="s">
        <v>75</v>
      </c>
      <c r="F4" s="23">
        <v>5</v>
      </c>
      <c r="G4" s="53">
        <v>8750</v>
      </c>
      <c r="H4" s="45">
        <f t="shared" ref="H4:H13" si="0">G4*F4</f>
        <v>43750</v>
      </c>
      <c r="I4" s="53">
        <v>8750</v>
      </c>
      <c r="J4" s="31" t="s">
        <v>160</v>
      </c>
    </row>
    <row r="5" spans="1:14" ht="51">
      <c r="A5" s="41">
        <v>2</v>
      </c>
      <c r="B5" s="21" t="s">
        <v>39</v>
      </c>
      <c r="C5" s="43">
        <v>8536</v>
      </c>
      <c r="D5" s="42" t="s">
        <v>40</v>
      </c>
      <c r="E5" s="51" t="s">
        <v>75</v>
      </c>
      <c r="F5" s="23">
        <v>5</v>
      </c>
      <c r="G5" s="44">
        <f>I5*1.1</f>
        <v>6545.0000000000009</v>
      </c>
      <c r="H5" s="45">
        <f t="shared" si="0"/>
        <v>32725.000000000004</v>
      </c>
      <c r="I5" s="44">
        <v>5950</v>
      </c>
    </row>
    <row r="6" spans="1:14" ht="25.5">
      <c r="A6" s="41">
        <v>3</v>
      </c>
      <c r="B6" s="21" t="s">
        <v>41</v>
      </c>
      <c r="C6" s="43">
        <v>8536</v>
      </c>
      <c r="D6" s="42" t="s">
        <v>42</v>
      </c>
      <c r="E6" s="51" t="s">
        <v>75</v>
      </c>
      <c r="F6" s="23">
        <v>5</v>
      </c>
      <c r="G6" s="44">
        <f>I6*1.1</f>
        <v>7590</v>
      </c>
      <c r="H6" s="45">
        <f t="shared" si="0"/>
        <v>37950</v>
      </c>
      <c r="I6" s="44">
        <v>6899.9999999999991</v>
      </c>
    </row>
    <row r="7" spans="1:14" ht="63.75">
      <c r="A7" s="41">
        <v>4</v>
      </c>
      <c r="B7" s="21" t="s">
        <v>43</v>
      </c>
      <c r="C7" s="43">
        <v>8536</v>
      </c>
      <c r="D7" s="42" t="s">
        <v>44</v>
      </c>
      <c r="E7" s="43" t="s">
        <v>75</v>
      </c>
      <c r="F7" s="23">
        <v>2</v>
      </c>
      <c r="G7" s="44">
        <f>I7*1.1</f>
        <v>8662.5</v>
      </c>
      <c r="H7" s="45">
        <f t="shared" si="0"/>
        <v>17325</v>
      </c>
      <c r="I7" s="44">
        <v>7875</v>
      </c>
      <c r="J7" s="31" t="s">
        <v>160</v>
      </c>
    </row>
    <row r="8" spans="1:14" ht="63.75">
      <c r="A8" s="41">
        <v>5</v>
      </c>
      <c r="B8" s="21" t="s">
        <v>45</v>
      </c>
      <c r="C8" s="43">
        <v>8536</v>
      </c>
      <c r="D8" s="42" t="s">
        <v>46</v>
      </c>
      <c r="E8" s="43" t="s">
        <v>75</v>
      </c>
      <c r="F8" s="23">
        <v>2</v>
      </c>
      <c r="G8" s="44">
        <f>I8*1.1</f>
        <v>8772.5</v>
      </c>
      <c r="H8" s="45">
        <f t="shared" si="0"/>
        <v>17545</v>
      </c>
      <c r="I8" s="44">
        <v>7975</v>
      </c>
      <c r="J8" s="31" t="s">
        <v>160</v>
      </c>
    </row>
    <row r="9" spans="1:14" ht="25.5">
      <c r="A9" s="41">
        <v>6</v>
      </c>
      <c r="B9" s="21" t="s">
        <v>47</v>
      </c>
      <c r="C9" s="43">
        <v>8536</v>
      </c>
      <c r="D9" s="42" t="s">
        <v>48</v>
      </c>
      <c r="E9" s="43" t="s">
        <v>75</v>
      </c>
      <c r="F9" s="23">
        <v>5</v>
      </c>
      <c r="G9" s="44">
        <f>I9*1.1</f>
        <v>759.00000000000011</v>
      </c>
      <c r="H9" s="45">
        <f t="shared" si="0"/>
        <v>3795.0000000000005</v>
      </c>
      <c r="I9" s="44">
        <v>690</v>
      </c>
      <c r="J9" s="31" t="s">
        <v>160</v>
      </c>
    </row>
    <row r="10" spans="1:14" ht="25.5">
      <c r="A10" s="41">
        <v>7</v>
      </c>
      <c r="B10" s="21" t="s">
        <v>49</v>
      </c>
      <c r="C10" s="43">
        <v>8536</v>
      </c>
      <c r="D10" s="42" t="s">
        <v>50</v>
      </c>
      <c r="E10" s="43" t="s">
        <v>75</v>
      </c>
      <c r="F10" s="23">
        <v>5</v>
      </c>
      <c r="G10" s="53">
        <v>7445</v>
      </c>
      <c r="H10" s="45">
        <f t="shared" si="0"/>
        <v>37225</v>
      </c>
      <c r="I10" s="53">
        <v>7445</v>
      </c>
      <c r="J10" s="31" t="s">
        <v>160</v>
      </c>
    </row>
    <row r="11" spans="1:14" ht="25.5">
      <c r="A11" s="41">
        <v>8</v>
      </c>
      <c r="B11" s="21" t="s">
        <v>51</v>
      </c>
      <c r="C11" s="43">
        <v>8536</v>
      </c>
      <c r="D11" s="42" t="s">
        <v>52</v>
      </c>
      <c r="E11" s="43" t="s">
        <v>75</v>
      </c>
      <c r="F11" s="23">
        <v>5</v>
      </c>
      <c r="G11" s="44">
        <f>I11*1.1</f>
        <v>2944.7000000000003</v>
      </c>
      <c r="H11" s="45">
        <f t="shared" si="0"/>
        <v>14723.500000000002</v>
      </c>
      <c r="I11" s="44">
        <v>2677</v>
      </c>
      <c r="J11" s="31" t="s">
        <v>160</v>
      </c>
    </row>
    <row r="12" spans="1:14" ht="38.25">
      <c r="A12" s="41">
        <v>9</v>
      </c>
      <c r="B12" s="21" t="s">
        <v>53</v>
      </c>
      <c r="C12" s="43">
        <v>8536</v>
      </c>
      <c r="D12" s="42" t="s">
        <v>54</v>
      </c>
      <c r="E12" s="43" t="s">
        <v>75</v>
      </c>
      <c r="F12" s="23">
        <v>5</v>
      </c>
      <c r="G12" s="44">
        <f>I12*1.1</f>
        <v>4202</v>
      </c>
      <c r="H12" s="45">
        <f>G12*F12</f>
        <v>21010</v>
      </c>
      <c r="I12" s="44">
        <v>3820</v>
      </c>
      <c r="J12" s="31" t="s">
        <v>160</v>
      </c>
    </row>
    <row r="13" spans="1:14" ht="38.25">
      <c r="A13" s="41">
        <v>10</v>
      </c>
      <c r="B13" s="21" t="s">
        <v>55</v>
      </c>
      <c r="C13" s="43">
        <v>8536</v>
      </c>
      <c r="D13" s="42" t="s">
        <v>56</v>
      </c>
      <c r="E13" s="43" t="s">
        <v>75</v>
      </c>
      <c r="F13" s="23">
        <v>2</v>
      </c>
      <c r="G13" s="44">
        <f>I13*1.1</f>
        <v>7381.0000000000009</v>
      </c>
      <c r="H13" s="45">
        <f t="shared" si="0"/>
        <v>14762.000000000002</v>
      </c>
      <c r="I13" s="44">
        <v>6710</v>
      </c>
      <c r="J13" s="31" t="s">
        <v>160</v>
      </c>
    </row>
    <row r="14" spans="1:14">
      <c r="A14" s="41">
        <v>11</v>
      </c>
      <c r="B14" s="386" t="s">
        <v>76</v>
      </c>
      <c r="C14" s="386"/>
      <c r="D14" s="386"/>
      <c r="E14" s="386"/>
      <c r="F14" s="386"/>
      <c r="G14" s="386"/>
      <c r="H14" s="46">
        <f>SUM(H4:H13)</f>
        <v>240810.5</v>
      </c>
    </row>
    <row r="15" spans="1:14">
      <c r="A15" s="41">
        <v>12</v>
      </c>
      <c r="B15" s="386" t="s">
        <v>114</v>
      </c>
      <c r="C15" s="386"/>
      <c r="D15" s="386"/>
      <c r="E15" s="386"/>
      <c r="F15" s="386"/>
      <c r="G15" s="386"/>
      <c r="H15" s="46">
        <f>H14*18%</f>
        <v>43345.89</v>
      </c>
    </row>
    <row r="16" spans="1:14">
      <c r="A16" s="41">
        <v>13</v>
      </c>
      <c r="B16" s="386" t="s">
        <v>78</v>
      </c>
      <c r="C16" s="386"/>
      <c r="D16" s="386"/>
      <c r="E16" s="386"/>
      <c r="F16" s="386"/>
      <c r="G16" s="386"/>
      <c r="H16" s="46">
        <v>1500</v>
      </c>
    </row>
    <row r="17" spans="1:8">
      <c r="A17" s="41">
        <v>14</v>
      </c>
      <c r="B17" s="386" t="s">
        <v>79</v>
      </c>
      <c r="C17" s="386"/>
      <c r="D17" s="386"/>
      <c r="E17" s="386"/>
      <c r="F17" s="386"/>
      <c r="G17" s="386"/>
      <c r="H17" s="46">
        <f>SUM(H14:H16)</f>
        <v>285656.39</v>
      </c>
    </row>
    <row r="18" spans="1:8">
      <c r="A18" s="378"/>
      <c r="B18" s="379"/>
      <c r="C18" s="379"/>
      <c r="D18" s="379"/>
      <c r="E18" s="379"/>
      <c r="F18" s="379"/>
      <c r="G18" s="379"/>
      <c r="H18" s="380"/>
    </row>
    <row r="19" spans="1:8" ht="153" customHeight="1">
      <c r="A19" s="47" t="s">
        <v>80</v>
      </c>
      <c r="B19" s="381" t="s">
        <v>92</v>
      </c>
      <c r="C19" s="381"/>
      <c r="D19" s="381"/>
      <c r="E19" s="381"/>
      <c r="F19" s="381"/>
      <c r="G19" s="381"/>
      <c r="H19" s="382"/>
    </row>
  </sheetData>
  <mergeCells count="7">
    <mergeCell ref="B19:H19"/>
    <mergeCell ref="C1:D1"/>
    <mergeCell ref="B14:G14"/>
    <mergeCell ref="B15:G15"/>
    <mergeCell ref="B16:G16"/>
    <mergeCell ref="B17:G17"/>
    <mergeCell ref="A18:H1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N18"/>
  <sheetViews>
    <sheetView topLeftCell="A4" workbookViewId="0">
      <selection activeCell="B9" sqref="B9"/>
    </sheetView>
  </sheetViews>
  <sheetFormatPr defaultColWidth="9.140625" defaultRowHeight="12.75"/>
  <cols>
    <col min="1" max="1" width="5.85546875" style="30" bestFit="1" customWidth="1"/>
    <col min="2" max="2" width="12.5703125" style="30" customWidth="1"/>
    <col min="3" max="3" width="11" style="31" bestFit="1" customWidth="1"/>
    <col min="4" max="4" width="54.28515625" style="30" customWidth="1"/>
    <col min="5" max="5" width="5" style="30" bestFit="1" customWidth="1"/>
    <col min="6" max="6" width="6.28515625" style="30" bestFit="1" customWidth="1"/>
    <col min="7" max="7" width="12.85546875" style="30" bestFit="1" customWidth="1"/>
    <col min="8" max="8" width="18.28515625" style="30" bestFit="1" customWidth="1"/>
    <col min="9" max="9" width="9.140625" style="30"/>
    <col min="10" max="10" width="9.140625" style="31"/>
    <col min="11" max="16384" width="9.140625" style="30"/>
  </cols>
  <sheetData>
    <row r="1" spans="1:14">
      <c r="A1" s="26" t="s">
        <v>62</v>
      </c>
      <c r="B1" s="27" t="s">
        <v>63</v>
      </c>
      <c r="C1" s="387" t="s">
        <v>106</v>
      </c>
      <c r="D1" s="388"/>
      <c r="E1" s="26"/>
      <c r="F1" s="27"/>
      <c r="G1" s="27" t="s">
        <v>64</v>
      </c>
      <c r="H1" s="29">
        <v>303</v>
      </c>
    </row>
    <row r="2" spans="1:14">
      <c r="A2" s="32"/>
      <c r="B2" s="33" t="s">
        <v>65</v>
      </c>
      <c r="C2" s="55">
        <v>43584</v>
      </c>
      <c r="D2" s="35"/>
      <c r="E2" s="32"/>
      <c r="F2" s="33"/>
      <c r="G2" s="33" t="s">
        <v>66</v>
      </c>
      <c r="H2" s="36">
        <v>43579</v>
      </c>
    </row>
    <row r="3" spans="1:14" ht="25.5">
      <c r="A3" s="37" t="s">
        <v>0</v>
      </c>
      <c r="B3" s="38" t="s">
        <v>82</v>
      </c>
      <c r="C3" s="38" t="s">
        <v>25</v>
      </c>
      <c r="D3" s="38" t="s">
        <v>67</v>
      </c>
      <c r="E3" s="38" t="s">
        <v>3</v>
      </c>
      <c r="F3" s="38" t="s">
        <v>68</v>
      </c>
      <c r="G3" s="39" t="s">
        <v>69</v>
      </c>
      <c r="H3" s="39" t="s">
        <v>70</v>
      </c>
      <c r="J3" s="40" t="s">
        <v>117</v>
      </c>
      <c r="K3" s="30" t="s">
        <v>72</v>
      </c>
      <c r="L3" s="30" t="s">
        <v>119</v>
      </c>
      <c r="N3" s="30" t="s">
        <v>74</v>
      </c>
    </row>
    <row r="4" spans="1:14" ht="25.5">
      <c r="A4" s="41">
        <v>1</v>
      </c>
      <c r="B4" s="50" t="s">
        <v>96</v>
      </c>
      <c r="C4" s="43">
        <v>8536</v>
      </c>
      <c r="D4" s="42" t="s">
        <v>97</v>
      </c>
      <c r="E4" s="51" t="s">
        <v>75</v>
      </c>
      <c r="F4" s="41">
        <v>5</v>
      </c>
      <c r="G4" s="44">
        <f>I4*1.07</f>
        <v>5842.2000000000007</v>
      </c>
      <c r="H4" s="45">
        <f t="shared" ref="H4:H9" si="0">G4*F4</f>
        <v>29211.000000000004</v>
      </c>
      <c r="I4" s="44">
        <v>5460</v>
      </c>
      <c r="J4" s="31">
        <v>15</v>
      </c>
      <c r="L4" s="56"/>
    </row>
    <row r="5" spans="1:14" ht="51">
      <c r="A5" s="41">
        <v>2</v>
      </c>
      <c r="B5" s="50" t="s">
        <v>98</v>
      </c>
      <c r="C5" s="43">
        <v>9026</v>
      </c>
      <c r="D5" s="42" t="s">
        <v>107</v>
      </c>
      <c r="E5" s="51" t="s">
        <v>75</v>
      </c>
      <c r="F5" s="41">
        <v>2</v>
      </c>
      <c r="G5" s="44">
        <f t="shared" ref="G5:G12" si="1">I5*1.07</f>
        <v>4494</v>
      </c>
      <c r="H5" s="45">
        <f t="shared" si="0"/>
        <v>8988</v>
      </c>
      <c r="I5" s="53">
        <v>4200</v>
      </c>
      <c r="J5" s="31">
        <v>42</v>
      </c>
      <c r="L5" s="56">
        <v>26</v>
      </c>
    </row>
    <row r="6" spans="1:14" ht="38.25">
      <c r="A6" s="41">
        <v>3</v>
      </c>
      <c r="B6" s="50" t="s">
        <v>99</v>
      </c>
      <c r="C6" s="43">
        <v>9026</v>
      </c>
      <c r="D6" s="42" t="s">
        <v>108</v>
      </c>
      <c r="E6" s="51" t="s">
        <v>75</v>
      </c>
      <c r="F6" s="41">
        <v>5</v>
      </c>
      <c r="G6" s="44">
        <f t="shared" si="1"/>
        <v>8025.0000000000009</v>
      </c>
      <c r="H6" s="45">
        <f t="shared" si="0"/>
        <v>40125.000000000007</v>
      </c>
      <c r="I6" s="44">
        <v>7500</v>
      </c>
      <c r="L6" s="56">
        <v>36</v>
      </c>
    </row>
    <row r="7" spans="1:14" ht="89.25">
      <c r="A7" s="41">
        <v>4</v>
      </c>
      <c r="B7" s="50" t="s">
        <v>100</v>
      </c>
      <c r="C7" s="43">
        <v>8538</v>
      </c>
      <c r="D7" s="42" t="s">
        <v>118</v>
      </c>
      <c r="E7" s="43" t="s">
        <v>75</v>
      </c>
      <c r="F7" s="41">
        <v>5</v>
      </c>
      <c r="G7" s="44">
        <f t="shared" si="1"/>
        <v>35096</v>
      </c>
      <c r="H7" s="45">
        <f t="shared" si="0"/>
        <v>175480</v>
      </c>
      <c r="I7" s="44">
        <v>32800</v>
      </c>
      <c r="J7" s="31">
        <v>328</v>
      </c>
      <c r="L7" s="56">
        <v>378</v>
      </c>
    </row>
    <row r="8" spans="1:14" ht="89.25">
      <c r="A8" s="41">
        <v>5</v>
      </c>
      <c r="B8" s="50" t="s">
        <v>101</v>
      </c>
      <c r="C8" s="43">
        <v>8536</v>
      </c>
      <c r="D8" s="42" t="s">
        <v>109</v>
      </c>
      <c r="E8" s="43" t="s">
        <v>75</v>
      </c>
      <c r="F8" s="41">
        <v>2</v>
      </c>
      <c r="G8" s="44">
        <f t="shared" si="1"/>
        <v>16531.5</v>
      </c>
      <c r="H8" s="45">
        <f t="shared" si="0"/>
        <v>33063</v>
      </c>
      <c r="I8" s="44">
        <v>15450</v>
      </c>
      <c r="L8" s="56"/>
    </row>
    <row r="9" spans="1:14" ht="114.75">
      <c r="A9" s="41">
        <v>6</v>
      </c>
      <c r="B9" s="50" t="s">
        <v>102</v>
      </c>
      <c r="C9" s="43">
        <v>9026</v>
      </c>
      <c r="D9" s="42" t="s">
        <v>110</v>
      </c>
      <c r="E9" s="43" t="s">
        <v>75</v>
      </c>
      <c r="F9" s="41">
        <v>2</v>
      </c>
      <c r="G9" s="44">
        <f t="shared" si="1"/>
        <v>6038.01</v>
      </c>
      <c r="H9" s="45">
        <f t="shared" si="0"/>
        <v>12076.02</v>
      </c>
      <c r="I9" s="44">
        <v>5643</v>
      </c>
      <c r="J9" s="31">
        <v>35</v>
      </c>
      <c r="L9" s="56"/>
    </row>
    <row r="10" spans="1:14" ht="76.5">
      <c r="A10" s="41">
        <v>7</v>
      </c>
      <c r="B10" s="50" t="s">
        <v>103</v>
      </c>
      <c r="C10" s="43">
        <v>9026</v>
      </c>
      <c r="D10" s="42" t="s">
        <v>111</v>
      </c>
      <c r="E10" s="43" t="s">
        <v>75</v>
      </c>
      <c r="F10" s="41">
        <v>3</v>
      </c>
      <c r="G10" s="44" t="s">
        <v>116</v>
      </c>
      <c r="H10" s="45">
        <v>0</v>
      </c>
      <c r="I10" s="53" t="s">
        <v>120</v>
      </c>
      <c r="L10" s="56"/>
    </row>
    <row r="11" spans="1:14" ht="24">
      <c r="A11" s="41">
        <v>8</v>
      </c>
      <c r="B11" s="50" t="s">
        <v>104</v>
      </c>
      <c r="C11" s="43">
        <v>9026</v>
      </c>
      <c r="D11" s="42" t="s">
        <v>112</v>
      </c>
      <c r="E11" s="43" t="s">
        <v>75</v>
      </c>
      <c r="F11" s="41">
        <v>2</v>
      </c>
      <c r="G11" s="44">
        <f t="shared" si="1"/>
        <v>66826.850000000006</v>
      </c>
      <c r="H11" s="45">
        <f>G11*F11</f>
        <v>133653.70000000001</v>
      </c>
      <c r="I11" s="44">
        <v>62455</v>
      </c>
      <c r="L11" s="56">
        <v>457</v>
      </c>
    </row>
    <row r="12" spans="1:14" ht="76.5">
      <c r="A12" s="41">
        <v>9</v>
      </c>
      <c r="B12" s="50" t="s">
        <v>105</v>
      </c>
      <c r="C12" s="43">
        <v>9026</v>
      </c>
      <c r="D12" s="42" t="s">
        <v>113</v>
      </c>
      <c r="E12" s="43" t="s">
        <v>75</v>
      </c>
      <c r="F12" s="41">
        <v>3</v>
      </c>
      <c r="G12" s="44">
        <f t="shared" si="1"/>
        <v>14156.1</v>
      </c>
      <c r="H12" s="45">
        <f>G12*F12</f>
        <v>42468.3</v>
      </c>
      <c r="I12" s="44">
        <v>13230</v>
      </c>
      <c r="L12" s="56"/>
    </row>
    <row r="13" spans="1:14">
      <c r="A13" s="41">
        <v>10</v>
      </c>
      <c r="B13" s="386" t="s">
        <v>76</v>
      </c>
      <c r="C13" s="386"/>
      <c r="D13" s="386"/>
      <c r="E13" s="386"/>
      <c r="F13" s="386"/>
      <c r="G13" s="386"/>
      <c r="H13" s="46">
        <f>SUM(H4:H12)</f>
        <v>475065.02</v>
      </c>
    </row>
    <row r="14" spans="1:14">
      <c r="A14" s="41">
        <v>11</v>
      </c>
      <c r="B14" s="386" t="s">
        <v>114</v>
      </c>
      <c r="C14" s="386"/>
      <c r="D14" s="386"/>
      <c r="E14" s="386"/>
      <c r="F14" s="386"/>
      <c r="G14" s="386"/>
      <c r="H14" s="46">
        <f>H13*18%</f>
        <v>85511.703599999993</v>
      </c>
    </row>
    <row r="15" spans="1:14">
      <c r="A15" s="41">
        <v>12</v>
      </c>
      <c r="B15" s="386" t="s">
        <v>78</v>
      </c>
      <c r="C15" s="386"/>
      <c r="D15" s="386"/>
      <c r="E15" s="386"/>
      <c r="F15" s="386"/>
      <c r="G15" s="386"/>
      <c r="H15" s="46">
        <v>1500</v>
      </c>
    </row>
    <row r="16" spans="1:14">
      <c r="A16" s="41">
        <v>13</v>
      </c>
      <c r="B16" s="386" t="s">
        <v>79</v>
      </c>
      <c r="C16" s="386"/>
      <c r="D16" s="386"/>
      <c r="E16" s="386"/>
      <c r="F16" s="386"/>
      <c r="G16" s="386"/>
      <c r="H16" s="46">
        <f>SUM(H13:H15)</f>
        <v>562076.72360000003</v>
      </c>
    </row>
    <row r="17" spans="1:8">
      <c r="A17" s="378"/>
      <c r="B17" s="379"/>
      <c r="C17" s="379"/>
      <c r="D17" s="379"/>
      <c r="E17" s="379"/>
      <c r="F17" s="379"/>
      <c r="G17" s="379"/>
      <c r="H17" s="380"/>
    </row>
    <row r="18" spans="1:8" ht="153" customHeight="1">
      <c r="A18" s="47" t="s">
        <v>80</v>
      </c>
      <c r="B18" s="381" t="s">
        <v>115</v>
      </c>
      <c r="C18" s="381"/>
      <c r="D18" s="381"/>
      <c r="E18" s="381"/>
      <c r="F18" s="381"/>
      <c r="G18" s="381"/>
      <c r="H18" s="382"/>
    </row>
  </sheetData>
  <mergeCells count="7">
    <mergeCell ref="B18:H18"/>
    <mergeCell ref="C1:D1"/>
    <mergeCell ref="B13:G13"/>
    <mergeCell ref="B14:G14"/>
    <mergeCell ref="B15:G15"/>
    <mergeCell ref="B16:G16"/>
    <mergeCell ref="A17:H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N14"/>
  <sheetViews>
    <sheetView workbookViewId="0">
      <selection activeCell="D4" sqref="D4"/>
    </sheetView>
  </sheetViews>
  <sheetFormatPr defaultColWidth="9.140625" defaultRowHeight="12.75"/>
  <cols>
    <col min="1" max="1" width="5.85546875" style="30" bestFit="1" customWidth="1"/>
    <col min="2" max="2" width="12.5703125" style="30" customWidth="1"/>
    <col min="3" max="3" width="11" style="31" bestFit="1" customWidth="1"/>
    <col min="4" max="4" width="54.28515625" style="30" customWidth="1"/>
    <col min="5" max="5" width="5" style="30" bestFit="1" customWidth="1"/>
    <col min="6" max="6" width="6.28515625" style="30" bestFit="1" customWidth="1"/>
    <col min="7" max="7" width="12.85546875" style="30" bestFit="1" customWidth="1"/>
    <col min="8" max="8" width="18.28515625" style="30" bestFit="1" customWidth="1"/>
    <col min="9" max="9" width="9.140625" style="30"/>
    <col min="10" max="10" width="9.140625" style="31"/>
    <col min="11" max="16384" width="9.140625" style="30"/>
  </cols>
  <sheetData>
    <row r="1" spans="1:14">
      <c r="A1" s="26" t="s">
        <v>62</v>
      </c>
      <c r="B1" s="27" t="s">
        <v>63</v>
      </c>
      <c r="C1" s="387" t="s">
        <v>127</v>
      </c>
      <c r="D1" s="388"/>
      <c r="E1" s="26"/>
      <c r="F1" s="27"/>
      <c r="G1" s="27" t="s">
        <v>64</v>
      </c>
      <c r="H1" s="29"/>
    </row>
    <row r="2" spans="1:14">
      <c r="A2" s="32"/>
      <c r="B2" s="33" t="s">
        <v>65</v>
      </c>
      <c r="C2" s="55">
        <v>43626</v>
      </c>
      <c r="D2" s="35"/>
      <c r="E2" s="32"/>
      <c r="F2" s="33"/>
      <c r="G2" s="33" t="s">
        <v>66</v>
      </c>
      <c r="H2" s="36">
        <v>43636</v>
      </c>
    </row>
    <row r="3" spans="1:14" ht="25.5">
      <c r="A3" s="37" t="s">
        <v>0</v>
      </c>
      <c r="B3" s="38" t="s">
        <v>82</v>
      </c>
      <c r="C3" s="38" t="s">
        <v>25</v>
      </c>
      <c r="D3" s="38" t="s">
        <v>67</v>
      </c>
      <c r="E3" s="38" t="s">
        <v>3</v>
      </c>
      <c r="F3" s="38" t="s">
        <v>68</v>
      </c>
      <c r="G3" s="39" t="s">
        <v>69</v>
      </c>
      <c r="H3" s="39" t="s">
        <v>70</v>
      </c>
      <c r="J3" s="40" t="s">
        <v>117</v>
      </c>
      <c r="K3" s="30" t="s">
        <v>72</v>
      </c>
      <c r="L3" s="30" t="s">
        <v>119</v>
      </c>
      <c r="N3" s="30" t="s">
        <v>74</v>
      </c>
    </row>
    <row r="4" spans="1:14" ht="51">
      <c r="A4" s="41">
        <v>1</v>
      </c>
      <c r="B4" s="21" t="s">
        <v>122</v>
      </c>
      <c r="C4" s="43"/>
      <c r="D4" s="57" t="s">
        <v>128</v>
      </c>
      <c r="E4" s="21" t="s">
        <v>121</v>
      </c>
      <c r="F4" s="21">
        <v>10</v>
      </c>
      <c r="G4" s="44"/>
      <c r="H4" s="45">
        <f>G4*F4</f>
        <v>0</v>
      </c>
      <c r="L4" s="56"/>
    </row>
    <row r="5" spans="1:14" ht="38.25">
      <c r="A5" s="41">
        <v>2</v>
      </c>
      <c r="B5" s="21" t="s">
        <v>123</v>
      </c>
      <c r="C5" s="43"/>
      <c r="D5" s="57" t="s">
        <v>132</v>
      </c>
      <c r="E5" s="21" t="s">
        <v>121</v>
      </c>
      <c r="F5" s="21">
        <v>1</v>
      </c>
      <c r="G5" s="53"/>
      <c r="H5" s="45">
        <f>G5*F5</f>
        <v>0</v>
      </c>
      <c r="L5" s="56"/>
    </row>
    <row r="6" spans="1:14" ht="51">
      <c r="A6" s="41">
        <v>3</v>
      </c>
      <c r="B6" s="21" t="s">
        <v>124</v>
      </c>
      <c r="C6" s="43"/>
      <c r="D6" s="57" t="s">
        <v>129</v>
      </c>
      <c r="E6" s="21" t="s">
        <v>121</v>
      </c>
      <c r="F6" s="21">
        <v>10</v>
      </c>
      <c r="G6" s="44"/>
      <c r="H6" s="45">
        <f>G6*F6</f>
        <v>0</v>
      </c>
      <c r="L6" s="56"/>
    </row>
    <row r="7" spans="1:14" ht="38.25">
      <c r="A7" s="41">
        <v>4</v>
      </c>
      <c r="B7" s="21" t="s">
        <v>125</v>
      </c>
      <c r="C7" s="43"/>
      <c r="D7" s="57" t="s">
        <v>131</v>
      </c>
      <c r="E7" s="21" t="s">
        <v>121</v>
      </c>
      <c r="F7" s="21">
        <v>1</v>
      </c>
      <c r="G7" s="44"/>
      <c r="H7" s="45">
        <f>G7*F7</f>
        <v>0</v>
      </c>
      <c r="L7" s="56"/>
    </row>
    <row r="8" spans="1:14" ht="38.25">
      <c r="A8" s="41">
        <v>5</v>
      </c>
      <c r="B8" s="21" t="s">
        <v>126</v>
      </c>
      <c r="C8" s="43"/>
      <c r="D8" s="57" t="s">
        <v>130</v>
      </c>
      <c r="E8" s="21" t="s">
        <v>121</v>
      </c>
      <c r="F8" s="21">
        <v>35</v>
      </c>
      <c r="G8" s="44"/>
      <c r="H8" s="45">
        <f>G8*F8</f>
        <v>0</v>
      </c>
      <c r="L8" s="56"/>
    </row>
    <row r="9" spans="1:14">
      <c r="A9" s="41">
        <v>6</v>
      </c>
      <c r="B9" s="386" t="s">
        <v>76</v>
      </c>
      <c r="C9" s="386"/>
      <c r="D9" s="386"/>
      <c r="E9" s="386"/>
      <c r="F9" s="386"/>
      <c r="G9" s="386"/>
      <c r="H9" s="46">
        <f>SUM(H4:H8)</f>
        <v>0</v>
      </c>
    </row>
    <row r="10" spans="1:14">
      <c r="A10" s="41">
        <v>7</v>
      </c>
      <c r="B10" s="386" t="s">
        <v>114</v>
      </c>
      <c r="C10" s="386"/>
      <c r="D10" s="386"/>
      <c r="E10" s="386"/>
      <c r="F10" s="386"/>
      <c r="G10" s="386"/>
      <c r="H10" s="46">
        <f>H9*18%</f>
        <v>0</v>
      </c>
    </row>
    <row r="11" spans="1:14">
      <c r="A11" s="41">
        <v>8</v>
      </c>
      <c r="B11" s="386" t="s">
        <v>78</v>
      </c>
      <c r="C11" s="386"/>
      <c r="D11" s="386"/>
      <c r="E11" s="386"/>
      <c r="F11" s="386"/>
      <c r="G11" s="386"/>
      <c r="H11" s="46">
        <v>1500</v>
      </c>
    </row>
    <row r="12" spans="1:14">
      <c r="A12" s="41">
        <v>9</v>
      </c>
      <c r="B12" s="386" t="s">
        <v>79</v>
      </c>
      <c r="C12" s="386"/>
      <c r="D12" s="386"/>
      <c r="E12" s="386"/>
      <c r="F12" s="386"/>
      <c r="G12" s="386"/>
      <c r="H12" s="46">
        <f>SUM(H9:H11)</f>
        <v>1500</v>
      </c>
    </row>
    <row r="13" spans="1:14">
      <c r="A13" s="378"/>
      <c r="B13" s="379"/>
      <c r="C13" s="379"/>
      <c r="D13" s="379"/>
      <c r="E13" s="379"/>
      <c r="F13" s="379"/>
      <c r="G13" s="379"/>
      <c r="H13" s="380"/>
    </row>
    <row r="14" spans="1:14" ht="153" customHeight="1">
      <c r="A14" s="47" t="s">
        <v>80</v>
      </c>
      <c r="B14" s="381" t="s">
        <v>115</v>
      </c>
      <c r="C14" s="381"/>
      <c r="D14" s="381"/>
      <c r="E14" s="381"/>
      <c r="F14" s="381"/>
      <c r="G14" s="381"/>
      <c r="H14" s="382"/>
    </row>
  </sheetData>
  <mergeCells count="7">
    <mergeCell ref="B14:H14"/>
    <mergeCell ref="C1:D1"/>
    <mergeCell ref="B9:G9"/>
    <mergeCell ref="B10:G10"/>
    <mergeCell ref="B11:G11"/>
    <mergeCell ref="B12:G12"/>
    <mergeCell ref="A13:H1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N12"/>
  <sheetViews>
    <sheetView workbookViewId="0">
      <selection activeCell="G5" sqref="G5"/>
    </sheetView>
  </sheetViews>
  <sheetFormatPr defaultColWidth="9.140625" defaultRowHeight="12.75"/>
  <cols>
    <col min="1" max="1" width="5.85546875" style="30" bestFit="1" customWidth="1"/>
    <col min="2" max="2" width="12.5703125" style="30" customWidth="1"/>
    <col min="3" max="3" width="11" style="31" bestFit="1" customWidth="1"/>
    <col min="4" max="4" width="54.28515625" style="30" customWidth="1"/>
    <col min="5" max="5" width="5" style="30" bestFit="1" customWidth="1"/>
    <col min="6" max="6" width="6.28515625" style="30" bestFit="1" customWidth="1"/>
    <col min="7" max="7" width="12.85546875" style="30" bestFit="1" customWidth="1"/>
    <col min="8" max="8" width="18.28515625" style="30" bestFit="1" customWidth="1"/>
    <col min="9" max="9" width="9.140625" style="30"/>
    <col min="10" max="10" width="9.140625" style="31"/>
    <col min="11" max="16384" width="9.140625" style="30"/>
  </cols>
  <sheetData>
    <row r="1" spans="1:14">
      <c r="A1" s="26" t="s">
        <v>62</v>
      </c>
      <c r="B1" s="27" t="s">
        <v>63</v>
      </c>
      <c r="C1" s="387" t="s">
        <v>133</v>
      </c>
      <c r="D1" s="388"/>
      <c r="E1" s="26"/>
      <c r="F1" s="27"/>
      <c r="G1" s="27" t="s">
        <v>64</v>
      </c>
      <c r="H1" s="29"/>
    </row>
    <row r="2" spans="1:14">
      <c r="A2" s="32"/>
      <c r="B2" s="33" t="s">
        <v>65</v>
      </c>
      <c r="C2" s="55">
        <v>43626</v>
      </c>
      <c r="D2" s="35"/>
      <c r="E2" s="32"/>
      <c r="F2" s="33"/>
      <c r="G2" s="33" t="s">
        <v>66</v>
      </c>
      <c r="H2" s="36">
        <v>43636</v>
      </c>
    </row>
    <row r="3" spans="1:14" ht="25.5">
      <c r="A3" s="37" t="s">
        <v>0</v>
      </c>
      <c r="B3" s="38" t="s">
        <v>82</v>
      </c>
      <c r="C3" s="38" t="s">
        <v>25</v>
      </c>
      <c r="D3" s="38" t="s">
        <v>67</v>
      </c>
      <c r="E3" s="38" t="s">
        <v>3</v>
      </c>
      <c r="F3" s="38" t="s">
        <v>68</v>
      </c>
      <c r="G3" s="39" t="s">
        <v>69</v>
      </c>
      <c r="H3" s="39" t="s">
        <v>70</v>
      </c>
      <c r="J3" s="40" t="s">
        <v>117</v>
      </c>
      <c r="K3" s="30" t="s">
        <v>72</v>
      </c>
      <c r="L3" s="30" t="s">
        <v>119</v>
      </c>
      <c r="N3" s="30" t="s">
        <v>74</v>
      </c>
    </row>
    <row r="4" spans="1:14" ht="51">
      <c r="A4" s="41">
        <v>1</v>
      </c>
      <c r="B4" s="43" t="s">
        <v>134</v>
      </c>
      <c r="C4" s="43"/>
      <c r="D4" s="42" t="s">
        <v>137</v>
      </c>
      <c r="E4" s="43" t="s">
        <v>121</v>
      </c>
      <c r="F4" s="43">
        <v>15</v>
      </c>
      <c r="G4" s="44">
        <f>L4*72*1.3</f>
        <v>17409.600000000002</v>
      </c>
      <c r="H4" s="45">
        <f>G4*F4</f>
        <v>261144.00000000003</v>
      </c>
      <c r="L4" s="56">
        <v>186</v>
      </c>
    </row>
    <row r="5" spans="1:14" ht="38.25">
      <c r="A5" s="41">
        <v>2</v>
      </c>
      <c r="B5" s="43" t="s">
        <v>135</v>
      </c>
      <c r="C5" s="43"/>
      <c r="D5" s="42" t="s">
        <v>138</v>
      </c>
      <c r="E5" s="43" t="s">
        <v>121</v>
      </c>
      <c r="F5" s="43">
        <v>2</v>
      </c>
      <c r="G5" s="44">
        <f>L5*72*1.3</f>
        <v>15163.2</v>
      </c>
      <c r="H5" s="45">
        <f>G5*F5</f>
        <v>30326.400000000001</v>
      </c>
      <c r="L5" s="56">
        <v>162</v>
      </c>
    </row>
    <row r="6" spans="1:14" ht="51">
      <c r="A6" s="41">
        <v>3</v>
      </c>
      <c r="B6" s="43" t="s">
        <v>136</v>
      </c>
      <c r="C6" s="43"/>
      <c r="D6" s="42" t="s">
        <v>139</v>
      </c>
      <c r="E6" s="43" t="s">
        <v>121</v>
      </c>
      <c r="F6" s="43">
        <v>25</v>
      </c>
      <c r="G6" s="44">
        <v>1040</v>
      </c>
      <c r="H6" s="45">
        <f>G6*F6</f>
        <v>26000</v>
      </c>
      <c r="L6" s="56"/>
    </row>
    <row r="7" spans="1:14">
      <c r="A7" s="41">
        <v>4</v>
      </c>
      <c r="B7" s="386" t="s">
        <v>76</v>
      </c>
      <c r="C7" s="386"/>
      <c r="D7" s="386"/>
      <c r="E7" s="386"/>
      <c r="F7" s="386"/>
      <c r="G7" s="386"/>
      <c r="H7" s="46">
        <f>SUM(H4:H6)</f>
        <v>317470.40000000002</v>
      </c>
    </row>
    <row r="8" spans="1:14">
      <c r="A8" s="41">
        <v>5</v>
      </c>
      <c r="B8" s="386" t="s">
        <v>114</v>
      </c>
      <c r="C8" s="386"/>
      <c r="D8" s="386"/>
      <c r="E8" s="386"/>
      <c r="F8" s="386"/>
      <c r="G8" s="386"/>
      <c r="H8" s="46">
        <f>H7*18%</f>
        <v>57144.671999999999</v>
      </c>
    </row>
    <row r="9" spans="1:14">
      <c r="A9" s="41">
        <v>6</v>
      </c>
      <c r="B9" s="386" t="s">
        <v>78</v>
      </c>
      <c r="C9" s="386"/>
      <c r="D9" s="386"/>
      <c r="E9" s="386"/>
      <c r="F9" s="386"/>
      <c r="G9" s="386"/>
      <c r="H9" s="46">
        <v>1500</v>
      </c>
    </row>
    <row r="10" spans="1:14">
      <c r="A10" s="41">
        <v>7</v>
      </c>
      <c r="B10" s="386" t="s">
        <v>79</v>
      </c>
      <c r="C10" s="386"/>
      <c r="D10" s="386"/>
      <c r="E10" s="386"/>
      <c r="F10" s="386"/>
      <c r="G10" s="386"/>
      <c r="H10" s="46">
        <f>SUM(H7:H9)</f>
        <v>376115.07200000004</v>
      </c>
    </row>
    <row r="11" spans="1:14">
      <c r="A11" s="378"/>
      <c r="B11" s="379"/>
      <c r="C11" s="379"/>
      <c r="D11" s="379"/>
      <c r="E11" s="379"/>
      <c r="F11" s="379"/>
      <c r="G11" s="379"/>
      <c r="H11" s="380"/>
    </row>
    <row r="12" spans="1:14" ht="153" customHeight="1">
      <c r="A12" s="47" t="s">
        <v>80</v>
      </c>
      <c r="B12" s="381" t="s">
        <v>115</v>
      </c>
      <c r="C12" s="381"/>
      <c r="D12" s="381"/>
      <c r="E12" s="381"/>
      <c r="F12" s="381"/>
      <c r="G12" s="381"/>
      <c r="H12" s="382"/>
    </row>
  </sheetData>
  <mergeCells count="7">
    <mergeCell ref="B12:H12"/>
    <mergeCell ref="C1:D1"/>
    <mergeCell ref="B7:G7"/>
    <mergeCell ref="B8:G8"/>
    <mergeCell ref="B9:G9"/>
    <mergeCell ref="B10:G10"/>
    <mergeCell ref="A11:H1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N11"/>
  <sheetViews>
    <sheetView workbookViewId="0">
      <selection activeCell="J11" sqref="J11"/>
    </sheetView>
  </sheetViews>
  <sheetFormatPr defaultColWidth="9.140625" defaultRowHeight="12.75"/>
  <cols>
    <col min="1" max="1" width="5.85546875" style="30" bestFit="1" customWidth="1"/>
    <col min="2" max="2" width="12.5703125" style="30" customWidth="1"/>
    <col min="3" max="3" width="11" style="31" bestFit="1" customWidth="1"/>
    <col min="4" max="4" width="54.28515625" style="30" customWidth="1"/>
    <col min="5" max="5" width="5" style="30" bestFit="1" customWidth="1"/>
    <col min="6" max="6" width="6.28515625" style="30" bestFit="1" customWidth="1"/>
    <col min="7" max="7" width="12.85546875" style="30" bestFit="1" customWidth="1"/>
    <col min="8" max="8" width="18.28515625" style="30" bestFit="1" customWidth="1"/>
    <col min="9" max="9" width="9.140625" style="30"/>
    <col min="10" max="10" width="9.140625" style="31"/>
    <col min="11" max="16384" width="9.140625" style="30"/>
  </cols>
  <sheetData>
    <row r="1" spans="1:14">
      <c r="A1" s="26" t="s">
        <v>62</v>
      </c>
      <c r="B1" s="27" t="s">
        <v>63</v>
      </c>
      <c r="C1" s="387" t="s">
        <v>140</v>
      </c>
      <c r="D1" s="388"/>
      <c r="E1" s="26"/>
      <c r="F1" s="27"/>
      <c r="G1" s="27" t="s">
        <v>64</v>
      </c>
      <c r="H1" s="29"/>
    </row>
    <row r="2" spans="1:14">
      <c r="A2" s="32"/>
      <c r="B2" s="33" t="s">
        <v>65</v>
      </c>
      <c r="C2" s="55">
        <v>43626</v>
      </c>
      <c r="D2" s="35"/>
      <c r="E2" s="32"/>
      <c r="F2" s="33"/>
      <c r="G2" s="33" t="s">
        <v>66</v>
      </c>
      <c r="H2" s="36">
        <v>43636</v>
      </c>
    </row>
    <row r="3" spans="1:14" ht="25.5">
      <c r="A3" s="37" t="s">
        <v>0</v>
      </c>
      <c r="B3" s="38" t="s">
        <v>82</v>
      </c>
      <c r="C3" s="38" t="s">
        <v>25</v>
      </c>
      <c r="D3" s="38" t="s">
        <v>67</v>
      </c>
      <c r="E3" s="38" t="s">
        <v>3</v>
      </c>
      <c r="F3" s="38" t="s">
        <v>68</v>
      </c>
      <c r="G3" s="39" t="s">
        <v>69</v>
      </c>
      <c r="H3" s="39" t="s">
        <v>70</v>
      </c>
      <c r="J3" s="40" t="s">
        <v>117</v>
      </c>
      <c r="K3" s="30" t="s">
        <v>72</v>
      </c>
      <c r="L3" s="30" t="s">
        <v>145</v>
      </c>
      <c r="N3" s="30" t="s">
        <v>74</v>
      </c>
    </row>
    <row r="4" spans="1:14" ht="38.25">
      <c r="A4" s="41">
        <v>1</v>
      </c>
      <c r="B4" s="43" t="s">
        <v>141</v>
      </c>
      <c r="C4" s="43">
        <v>8516</v>
      </c>
      <c r="D4" s="42" t="s">
        <v>143</v>
      </c>
      <c r="E4" s="43" t="s">
        <v>121</v>
      </c>
      <c r="F4" s="43">
        <v>10</v>
      </c>
      <c r="G4" s="44">
        <f>L4*72*1.3</f>
        <v>5896.8</v>
      </c>
      <c r="H4" s="45">
        <f>G4*F4</f>
        <v>58968</v>
      </c>
      <c r="L4" s="56">
        <v>63</v>
      </c>
    </row>
    <row r="5" spans="1:14" ht="38.25">
      <c r="A5" s="41">
        <v>2</v>
      </c>
      <c r="B5" s="43" t="s">
        <v>142</v>
      </c>
      <c r="C5" s="43">
        <v>8516</v>
      </c>
      <c r="D5" s="42" t="s">
        <v>144</v>
      </c>
      <c r="E5" s="43" t="s">
        <v>121</v>
      </c>
      <c r="F5" s="43">
        <v>20</v>
      </c>
      <c r="G5" s="44">
        <f>L5*72*1.3</f>
        <v>5616</v>
      </c>
      <c r="H5" s="45">
        <f>G5*F5</f>
        <v>112320</v>
      </c>
      <c r="L5" s="56">
        <v>60</v>
      </c>
    </row>
    <row r="6" spans="1:14">
      <c r="A6" s="41">
        <v>3</v>
      </c>
      <c r="B6" s="386" t="s">
        <v>76</v>
      </c>
      <c r="C6" s="386"/>
      <c r="D6" s="386"/>
      <c r="E6" s="386"/>
      <c r="F6" s="386"/>
      <c r="G6" s="386"/>
      <c r="H6" s="46">
        <f>SUM(H4:H5)</f>
        <v>171288</v>
      </c>
    </row>
    <row r="7" spans="1:14">
      <c r="A7" s="41">
        <v>4</v>
      </c>
      <c r="B7" s="386" t="s">
        <v>114</v>
      </c>
      <c r="C7" s="386"/>
      <c r="D7" s="386"/>
      <c r="E7" s="386"/>
      <c r="F7" s="386"/>
      <c r="G7" s="386"/>
      <c r="H7" s="46">
        <f>H6*18%</f>
        <v>30831.84</v>
      </c>
    </row>
    <row r="8" spans="1:14">
      <c r="A8" s="41">
        <v>5</v>
      </c>
      <c r="B8" s="386" t="s">
        <v>78</v>
      </c>
      <c r="C8" s="386"/>
      <c r="D8" s="386"/>
      <c r="E8" s="386"/>
      <c r="F8" s="386"/>
      <c r="G8" s="386"/>
      <c r="H8" s="46">
        <f>(H6+H7)*2%</f>
        <v>4042.3968</v>
      </c>
    </row>
    <row r="9" spans="1:14">
      <c r="A9" s="41">
        <v>6</v>
      </c>
      <c r="B9" s="386" t="s">
        <v>79</v>
      </c>
      <c r="C9" s="386"/>
      <c r="D9" s="386"/>
      <c r="E9" s="386"/>
      <c r="F9" s="386"/>
      <c r="G9" s="386"/>
      <c r="H9" s="46">
        <f>SUM(H6:H8)</f>
        <v>206162.23679999998</v>
      </c>
    </row>
    <row r="10" spans="1:14">
      <c r="A10" s="378"/>
      <c r="B10" s="379"/>
      <c r="C10" s="379"/>
      <c r="D10" s="379"/>
      <c r="E10" s="379"/>
      <c r="F10" s="379"/>
      <c r="G10" s="379"/>
      <c r="H10" s="380"/>
    </row>
    <row r="11" spans="1:14" ht="153" customHeight="1">
      <c r="A11" s="47" t="s">
        <v>80</v>
      </c>
      <c r="B11" s="381" t="s">
        <v>115</v>
      </c>
      <c r="C11" s="381"/>
      <c r="D11" s="381"/>
      <c r="E11" s="381"/>
      <c r="F11" s="381"/>
      <c r="G11" s="381"/>
      <c r="H11" s="382"/>
    </row>
  </sheetData>
  <mergeCells count="7">
    <mergeCell ref="B11:H11"/>
    <mergeCell ref="C1:D1"/>
    <mergeCell ref="B6:G6"/>
    <mergeCell ref="B7:G7"/>
    <mergeCell ref="B8:G8"/>
    <mergeCell ref="B9:G9"/>
    <mergeCell ref="A10:H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N15"/>
  <sheetViews>
    <sheetView workbookViewId="0">
      <selection activeCell="D5" sqref="D5"/>
    </sheetView>
  </sheetViews>
  <sheetFormatPr defaultColWidth="9.140625" defaultRowHeight="12.75"/>
  <cols>
    <col min="1" max="1" width="5.85546875" style="62" bestFit="1" customWidth="1"/>
    <col min="2" max="2" width="12.5703125" style="62" customWidth="1"/>
    <col min="3" max="3" width="11" style="66" bestFit="1" customWidth="1"/>
    <col min="4" max="4" width="54.28515625" style="62" customWidth="1"/>
    <col min="5" max="5" width="5" style="62" bestFit="1" customWidth="1"/>
    <col min="6" max="6" width="6.28515625" style="62" bestFit="1" customWidth="1"/>
    <col min="7" max="7" width="12.85546875" style="62" bestFit="1" customWidth="1"/>
    <col min="8" max="8" width="18.28515625" style="62" bestFit="1" customWidth="1"/>
    <col min="9" max="9" width="9.140625" style="62"/>
    <col min="10" max="10" width="9.140625" style="66"/>
    <col min="11" max="16384" width="9.140625" style="62"/>
  </cols>
  <sheetData>
    <row r="1" spans="1:14">
      <c r="A1" s="63" t="s">
        <v>62</v>
      </c>
      <c r="B1" s="64" t="s">
        <v>63</v>
      </c>
      <c r="C1" s="391" t="s">
        <v>140</v>
      </c>
      <c r="D1" s="392"/>
      <c r="E1" s="63"/>
      <c r="F1" s="64"/>
      <c r="G1" s="64" t="s">
        <v>64</v>
      </c>
      <c r="H1" s="65"/>
    </row>
    <row r="2" spans="1:14">
      <c r="A2" s="67"/>
      <c r="B2" s="68" t="s">
        <v>65</v>
      </c>
      <c r="C2" s="69">
        <v>43626</v>
      </c>
      <c r="D2" s="70"/>
      <c r="E2" s="67"/>
      <c r="F2" s="68"/>
      <c r="G2" s="68" t="s">
        <v>66</v>
      </c>
      <c r="H2" s="71">
        <v>43636</v>
      </c>
    </row>
    <row r="3" spans="1:14" ht="25.5">
      <c r="A3" s="58" t="s">
        <v>0</v>
      </c>
      <c r="B3" s="59" t="s">
        <v>82</v>
      </c>
      <c r="C3" s="59" t="s">
        <v>25</v>
      </c>
      <c r="D3" s="59" t="s">
        <v>67</v>
      </c>
      <c r="E3" s="59" t="s">
        <v>3</v>
      </c>
      <c r="F3" s="59" t="s">
        <v>68</v>
      </c>
      <c r="G3" s="72" t="s">
        <v>69</v>
      </c>
      <c r="H3" s="72" t="s">
        <v>70</v>
      </c>
      <c r="J3" s="73" t="s">
        <v>117</v>
      </c>
      <c r="K3" s="62" t="s">
        <v>72</v>
      </c>
      <c r="L3" s="62" t="s">
        <v>145</v>
      </c>
      <c r="N3" s="62" t="s">
        <v>74</v>
      </c>
    </row>
    <row r="4" spans="1:14" ht="51">
      <c r="A4" s="60">
        <v>1</v>
      </c>
      <c r="B4" s="74" t="s">
        <v>161</v>
      </c>
      <c r="C4" s="61">
        <v>8501</v>
      </c>
      <c r="D4" s="79" t="s">
        <v>168</v>
      </c>
      <c r="E4" s="61" t="s">
        <v>121</v>
      </c>
      <c r="F4" s="61">
        <v>10</v>
      </c>
      <c r="G4" s="75">
        <f t="shared" ref="G4:G9" si="0">L4*72*1.3</f>
        <v>0</v>
      </c>
      <c r="H4" s="76">
        <f t="shared" ref="H4:H9" si="1">G4*F4</f>
        <v>0</v>
      </c>
      <c r="L4" s="80"/>
    </row>
    <row r="5" spans="1:14" ht="51">
      <c r="A5" s="60">
        <v>2</v>
      </c>
      <c r="B5" s="74" t="s">
        <v>162</v>
      </c>
      <c r="C5" s="61">
        <v>8501</v>
      </c>
      <c r="D5" s="79" t="s">
        <v>167</v>
      </c>
      <c r="E5" s="61" t="s">
        <v>121</v>
      </c>
      <c r="F5" s="61">
        <v>3</v>
      </c>
      <c r="G5" s="75">
        <f t="shared" si="0"/>
        <v>0</v>
      </c>
      <c r="H5" s="76">
        <f t="shared" si="1"/>
        <v>0</v>
      </c>
      <c r="L5" s="80"/>
    </row>
    <row r="6" spans="1:14" ht="51">
      <c r="A6" s="60">
        <v>3</v>
      </c>
      <c r="B6" s="74" t="s">
        <v>163</v>
      </c>
      <c r="C6" s="61">
        <v>8501</v>
      </c>
      <c r="D6" s="79" t="s">
        <v>169</v>
      </c>
      <c r="E6" s="61" t="s">
        <v>121</v>
      </c>
      <c r="F6" s="61">
        <v>1</v>
      </c>
      <c r="G6" s="75">
        <f t="shared" si="0"/>
        <v>0</v>
      </c>
      <c r="H6" s="76">
        <f t="shared" si="1"/>
        <v>0</v>
      </c>
      <c r="L6" s="80"/>
    </row>
    <row r="7" spans="1:14" ht="51">
      <c r="A7" s="60">
        <v>4</v>
      </c>
      <c r="B7" s="74" t="s">
        <v>164</v>
      </c>
      <c r="C7" s="61">
        <v>8501</v>
      </c>
      <c r="D7" s="79" t="s">
        <v>170</v>
      </c>
      <c r="E7" s="61" t="s">
        <v>121</v>
      </c>
      <c r="F7" s="61">
        <v>1</v>
      </c>
      <c r="G7" s="75">
        <f t="shared" si="0"/>
        <v>0</v>
      </c>
      <c r="H7" s="76">
        <f t="shared" si="1"/>
        <v>0</v>
      </c>
      <c r="L7" s="80"/>
    </row>
    <row r="8" spans="1:14" ht="38.25">
      <c r="A8" s="60">
        <v>5</v>
      </c>
      <c r="B8" s="74" t="s">
        <v>165</v>
      </c>
      <c r="C8" s="61">
        <v>8501</v>
      </c>
      <c r="D8" s="79" t="s">
        <v>171</v>
      </c>
      <c r="E8" s="61" t="s">
        <v>121</v>
      </c>
      <c r="F8" s="61">
        <v>5</v>
      </c>
      <c r="G8" s="75">
        <f t="shared" si="0"/>
        <v>0</v>
      </c>
      <c r="H8" s="76">
        <f t="shared" si="1"/>
        <v>0</v>
      </c>
      <c r="L8" s="80"/>
    </row>
    <row r="9" spans="1:14" ht="51">
      <c r="A9" s="60">
        <v>6</v>
      </c>
      <c r="B9" s="74" t="s">
        <v>166</v>
      </c>
      <c r="C9" s="61">
        <v>8501</v>
      </c>
      <c r="D9" s="79" t="s">
        <v>172</v>
      </c>
      <c r="E9" s="61" t="s">
        <v>121</v>
      </c>
      <c r="F9" s="61">
        <v>3</v>
      </c>
      <c r="G9" s="75">
        <f t="shared" si="0"/>
        <v>0</v>
      </c>
      <c r="H9" s="76">
        <f t="shared" si="1"/>
        <v>0</v>
      </c>
      <c r="L9" s="80"/>
    </row>
    <row r="10" spans="1:14">
      <c r="A10" s="60">
        <v>7</v>
      </c>
      <c r="B10" s="393" t="s">
        <v>76</v>
      </c>
      <c r="C10" s="393"/>
      <c r="D10" s="393"/>
      <c r="E10" s="393"/>
      <c r="F10" s="393"/>
      <c r="G10" s="393"/>
      <c r="H10" s="77">
        <f>SUM(H8:H9)</f>
        <v>0</v>
      </c>
    </row>
    <row r="11" spans="1:14">
      <c r="A11" s="60">
        <v>8</v>
      </c>
      <c r="B11" s="393" t="s">
        <v>114</v>
      </c>
      <c r="C11" s="393"/>
      <c r="D11" s="393"/>
      <c r="E11" s="393"/>
      <c r="F11" s="393"/>
      <c r="G11" s="393"/>
      <c r="H11" s="77">
        <f>H10*18%</f>
        <v>0</v>
      </c>
    </row>
    <row r="12" spans="1:14">
      <c r="A12" s="60">
        <v>9</v>
      </c>
      <c r="B12" s="393" t="s">
        <v>78</v>
      </c>
      <c r="C12" s="393"/>
      <c r="D12" s="393"/>
      <c r="E12" s="393"/>
      <c r="F12" s="393"/>
      <c r="G12" s="393"/>
      <c r="H12" s="77">
        <f>(H10+H11)*2%</f>
        <v>0</v>
      </c>
    </row>
    <row r="13" spans="1:14">
      <c r="A13" s="60">
        <v>10</v>
      </c>
      <c r="B13" s="393" t="s">
        <v>79</v>
      </c>
      <c r="C13" s="393"/>
      <c r="D13" s="393"/>
      <c r="E13" s="393"/>
      <c r="F13" s="393"/>
      <c r="G13" s="393"/>
      <c r="H13" s="77">
        <f>SUM(H10:H12)</f>
        <v>0</v>
      </c>
    </row>
    <row r="14" spans="1:14">
      <c r="A14" s="394"/>
      <c r="B14" s="395"/>
      <c r="C14" s="395"/>
      <c r="D14" s="395"/>
      <c r="E14" s="395"/>
      <c r="F14" s="395"/>
      <c r="G14" s="395"/>
      <c r="H14" s="396"/>
    </row>
    <row r="15" spans="1:14" ht="153" customHeight="1">
      <c r="A15" s="78" t="s">
        <v>80</v>
      </c>
      <c r="B15" s="389" t="s">
        <v>173</v>
      </c>
      <c r="C15" s="389"/>
      <c r="D15" s="389"/>
      <c r="E15" s="389"/>
      <c r="F15" s="389"/>
      <c r="G15" s="389"/>
      <c r="H15" s="390"/>
    </row>
  </sheetData>
  <mergeCells count="7">
    <mergeCell ref="B15:H15"/>
    <mergeCell ref="C1:D1"/>
    <mergeCell ref="B10:G10"/>
    <mergeCell ref="B11:G11"/>
    <mergeCell ref="B12:G12"/>
    <mergeCell ref="B13:G13"/>
    <mergeCell ref="A14:H14"/>
  </mergeCells>
  <pageMargins left="0.7" right="0.7" top="0.75" bottom="0.75" header="0.3" footer="0.3"/>
  <pageSetup orientation="portrait" horizontalDpi="4294967292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N10"/>
  <sheetViews>
    <sheetView workbookViewId="0">
      <selection activeCell="G4" sqref="G4"/>
    </sheetView>
  </sheetViews>
  <sheetFormatPr defaultColWidth="9.140625" defaultRowHeight="12.75"/>
  <cols>
    <col min="1" max="1" width="5.85546875" style="62" bestFit="1" customWidth="1"/>
    <col min="2" max="2" width="12.5703125" style="62" customWidth="1"/>
    <col min="3" max="3" width="11" style="66" bestFit="1" customWidth="1"/>
    <col min="4" max="4" width="54.28515625" style="62" customWidth="1"/>
    <col min="5" max="5" width="5" style="62" bestFit="1" customWidth="1"/>
    <col min="6" max="6" width="6.28515625" style="62" bestFit="1" customWidth="1"/>
    <col min="7" max="7" width="12.85546875" style="62" bestFit="1" customWidth="1"/>
    <col min="8" max="8" width="18.28515625" style="62" bestFit="1" customWidth="1"/>
    <col min="9" max="9" width="9.140625" style="62"/>
    <col min="10" max="10" width="9.140625" style="66"/>
    <col min="11" max="16384" width="9.140625" style="62"/>
  </cols>
  <sheetData>
    <row r="1" spans="1:14">
      <c r="A1" s="63" t="s">
        <v>62</v>
      </c>
      <c r="B1" s="64" t="s">
        <v>63</v>
      </c>
      <c r="C1" s="391" t="s">
        <v>140</v>
      </c>
      <c r="D1" s="392"/>
      <c r="E1" s="63"/>
      <c r="F1" s="64"/>
      <c r="G1" s="64" t="s">
        <v>64</v>
      </c>
      <c r="H1" s="65"/>
    </row>
    <row r="2" spans="1:14">
      <c r="A2" s="67"/>
      <c r="B2" s="68" t="s">
        <v>65</v>
      </c>
      <c r="C2" s="69">
        <v>43626</v>
      </c>
      <c r="D2" s="70"/>
      <c r="E2" s="67"/>
      <c r="F2" s="68"/>
      <c r="G2" s="68" t="s">
        <v>66</v>
      </c>
      <c r="H2" s="71">
        <v>43636</v>
      </c>
    </row>
    <row r="3" spans="1:14" ht="25.5">
      <c r="A3" s="58" t="s">
        <v>0</v>
      </c>
      <c r="B3" s="59" t="s">
        <v>82</v>
      </c>
      <c r="C3" s="59" t="s">
        <v>25</v>
      </c>
      <c r="D3" s="59" t="s">
        <v>67</v>
      </c>
      <c r="E3" s="59" t="s">
        <v>3</v>
      </c>
      <c r="F3" s="59" t="s">
        <v>68</v>
      </c>
      <c r="G3" s="72" t="s">
        <v>69</v>
      </c>
      <c r="H3" s="72" t="s">
        <v>70</v>
      </c>
      <c r="J3" s="73" t="s">
        <v>117</v>
      </c>
      <c r="K3" s="62" t="s">
        <v>72</v>
      </c>
      <c r="L3" s="62" t="s">
        <v>145</v>
      </c>
      <c r="N3" s="62" t="s">
        <v>74</v>
      </c>
    </row>
    <row r="4" spans="1:14" ht="25.5">
      <c r="A4" s="60">
        <v>1</v>
      </c>
      <c r="B4" s="74" t="s">
        <v>174</v>
      </c>
      <c r="C4" s="61">
        <v>8504</v>
      </c>
      <c r="D4" s="81" t="s">
        <v>317</v>
      </c>
      <c r="E4" s="61" t="s">
        <v>121</v>
      </c>
      <c r="F4" s="61">
        <v>2</v>
      </c>
      <c r="G4" s="75">
        <f>I4*78*1.3</f>
        <v>49686</v>
      </c>
      <c r="H4" s="76">
        <f>G4*F4</f>
        <v>99372</v>
      </c>
      <c r="I4" s="62">
        <v>490</v>
      </c>
      <c r="L4" s="80">
        <v>478</v>
      </c>
    </row>
    <row r="5" spans="1:14" ht="89.25">
      <c r="A5" s="60">
        <v>2</v>
      </c>
      <c r="B5" s="74" t="s">
        <v>175</v>
      </c>
      <c r="C5" s="61">
        <v>8504</v>
      </c>
      <c r="D5" s="81" t="s">
        <v>176</v>
      </c>
      <c r="E5" s="61" t="s">
        <v>121</v>
      </c>
      <c r="F5" s="61">
        <v>2</v>
      </c>
      <c r="G5" s="75">
        <f>I5*78*1.3</f>
        <v>89232</v>
      </c>
      <c r="H5" s="76">
        <f>G5*F5</f>
        <v>178464</v>
      </c>
      <c r="I5" s="62">
        <v>880</v>
      </c>
      <c r="L5" s="80">
        <v>860</v>
      </c>
    </row>
    <row r="6" spans="1:14">
      <c r="A6" s="60">
        <v>3</v>
      </c>
      <c r="B6" s="393" t="s">
        <v>76</v>
      </c>
      <c r="C6" s="393"/>
      <c r="D6" s="393"/>
      <c r="E6" s="393"/>
      <c r="F6" s="393"/>
      <c r="G6" s="393"/>
      <c r="H6" s="77">
        <f>H5+H4</f>
        <v>277836</v>
      </c>
    </row>
    <row r="7" spans="1:14">
      <c r="A7" s="60">
        <v>4</v>
      </c>
      <c r="B7" s="393" t="s">
        <v>114</v>
      </c>
      <c r="C7" s="393"/>
      <c r="D7" s="393"/>
      <c r="E7" s="393"/>
      <c r="F7" s="393"/>
      <c r="G7" s="393"/>
      <c r="H7" s="77">
        <f>H6*18%</f>
        <v>50010.479999999996</v>
      </c>
    </row>
    <row r="8" spans="1:14">
      <c r="A8" s="60">
        <v>6</v>
      </c>
      <c r="B8" s="393" t="s">
        <v>79</v>
      </c>
      <c r="C8" s="393"/>
      <c r="D8" s="393"/>
      <c r="E8" s="393"/>
      <c r="F8" s="393"/>
      <c r="G8" s="393"/>
      <c r="H8" s="77">
        <f>SUM(H6:H7)</f>
        <v>327846.48</v>
      </c>
    </row>
    <row r="9" spans="1:14">
      <c r="A9" s="394"/>
      <c r="B9" s="395"/>
      <c r="C9" s="395"/>
      <c r="D9" s="395"/>
      <c r="E9" s="395"/>
      <c r="F9" s="395"/>
      <c r="G9" s="395"/>
      <c r="H9" s="396"/>
    </row>
    <row r="10" spans="1:14" ht="153" customHeight="1">
      <c r="A10" s="78" t="s">
        <v>80</v>
      </c>
      <c r="B10" s="389" t="s">
        <v>177</v>
      </c>
      <c r="C10" s="389"/>
      <c r="D10" s="389"/>
      <c r="E10" s="389"/>
      <c r="F10" s="389"/>
      <c r="G10" s="389"/>
      <c r="H10" s="390"/>
    </row>
  </sheetData>
  <mergeCells count="6">
    <mergeCell ref="B10:H10"/>
    <mergeCell ref="C1:D1"/>
    <mergeCell ref="B6:G6"/>
    <mergeCell ref="B7:G7"/>
    <mergeCell ref="B8:G8"/>
    <mergeCell ref="A9:H9"/>
  </mergeCells>
  <pageMargins left="0.7" right="0.7" top="0.75" bottom="0.75" header="0.3" footer="0.3"/>
  <pageSetup orientation="portrait" horizontalDpi="4294967292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N10"/>
  <sheetViews>
    <sheetView topLeftCell="A2" workbookViewId="0">
      <selection activeCell="A3" sqref="A3:H8"/>
    </sheetView>
  </sheetViews>
  <sheetFormatPr defaultColWidth="9.140625" defaultRowHeight="12.75"/>
  <cols>
    <col min="1" max="1" width="5.85546875" style="62" bestFit="1" customWidth="1"/>
    <col min="2" max="2" width="12.5703125" style="62" customWidth="1"/>
    <col min="3" max="3" width="11" style="66" bestFit="1" customWidth="1"/>
    <col min="4" max="4" width="54.28515625" style="62" customWidth="1"/>
    <col min="5" max="5" width="5" style="62" bestFit="1" customWidth="1"/>
    <col min="6" max="6" width="6.28515625" style="62" bestFit="1" customWidth="1"/>
    <col min="7" max="7" width="12.85546875" style="62" bestFit="1" customWidth="1"/>
    <col min="8" max="8" width="18.28515625" style="62" bestFit="1" customWidth="1"/>
    <col min="9" max="9" width="9.140625" style="62"/>
    <col min="10" max="10" width="9.140625" style="66"/>
    <col min="11" max="16384" width="9.140625" style="62"/>
  </cols>
  <sheetData>
    <row r="1" spans="1:14">
      <c r="A1" s="63" t="s">
        <v>62</v>
      </c>
      <c r="B1" s="64" t="s">
        <v>63</v>
      </c>
      <c r="C1" s="391" t="s">
        <v>140</v>
      </c>
      <c r="D1" s="392"/>
      <c r="E1" s="63"/>
      <c r="F1" s="64"/>
      <c r="G1" s="64" t="s">
        <v>64</v>
      </c>
      <c r="H1" s="65"/>
    </row>
    <row r="2" spans="1:14">
      <c r="A2" s="67"/>
      <c r="B2" s="68" t="s">
        <v>65</v>
      </c>
      <c r="C2" s="69">
        <v>43626</v>
      </c>
      <c r="D2" s="70"/>
      <c r="E2" s="67"/>
      <c r="F2" s="68"/>
      <c r="G2" s="68" t="s">
        <v>66</v>
      </c>
      <c r="H2" s="71">
        <v>43636</v>
      </c>
    </row>
    <row r="3" spans="1:14" ht="25.5">
      <c r="A3" s="58" t="s">
        <v>0</v>
      </c>
      <c r="B3" s="59" t="s">
        <v>82</v>
      </c>
      <c r="C3" s="59" t="s">
        <v>25</v>
      </c>
      <c r="D3" s="59" t="s">
        <v>67</v>
      </c>
      <c r="E3" s="59" t="s">
        <v>3</v>
      </c>
      <c r="F3" s="59" t="s">
        <v>68</v>
      </c>
      <c r="G3" s="72" t="s">
        <v>69</v>
      </c>
      <c r="H3" s="72" t="s">
        <v>70</v>
      </c>
      <c r="J3" s="73" t="s">
        <v>117</v>
      </c>
      <c r="K3" s="62" t="s">
        <v>72</v>
      </c>
      <c r="L3" s="62" t="s">
        <v>145</v>
      </c>
      <c r="N3" s="62" t="s">
        <v>74</v>
      </c>
    </row>
    <row r="4" spans="1:14" ht="63.75">
      <c r="A4" s="60">
        <v>1</v>
      </c>
      <c r="B4" s="74" t="s">
        <v>178</v>
      </c>
      <c r="C4" s="61">
        <v>8538</v>
      </c>
      <c r="D4" s="81" t="s">
        <v>180</v>
      </c>
      <c r="E4" s="61" t="s">
        <v>121</v>
      </c>
      <c r="F4" s="61">
        <v>5</v>
      </c>
      <c r="G4" s="75">
        <f>I4*73*1.3</f>
        <v>5978.7</v>
      </c>
      <c r="H4" s="76">
        <f>G4*F4</f>
        <v>29893.5</v>
      </c>
      <c r="I4" s="62">
        <v>63</v>
      </c>
      <c r="L4" s="80">
        <v>63</v>
      </c>
    </row>
    <row r="5" spans="1:14" ht="63.75">
      <c r="A5" s="60">
        <v>2</v>
      </c>
      <c r="B5" s="74" t="s">
        <v>179</v>
      </c>
      <c r="C5" s="61">
        <v>8538</v>
      </c>
      <c r="D5" s="81" t="s">
        <v>181</v>
      </c>
      <c r="E5" s="61" t="s">
        <v>121</v>
      </c>
      <c r="F5" s="61">
        <v>5</v>
      </c>
      <c r="G5" s="75">
        <f>I5*73*1.3</f>
        <v>42515.200000000004</v>
      </c>
      <c r="H5" s="76">
        <f>G5*F5</f>
        <v>212576.00000000003</v>
      </c>
      <c r="I5" s="62">
        <v>448</v>
      </c>
      <c r="L5" s="80">
        <v>448</v>
      </c>
    </row>
    <row r="6" spans="1:14">
      <c r="A6" s="60">
        <v>3</v>
      </c>
      <c r="B6" s="393" t="s">
        <v>76</v>
      </c>
      <c r="C6" s="393"/>
      <c r="D6" s="393"/>
      <c r="E6" s="393"/>
      <c r="F6" s="393"/>
      <c r="G6" s="393"/>
      <c r="H6" s="77">
        <f>H5+H4</f>
        <v>242469.50000000003</v>
      </c>
    </row>
    <row r="7" spans="1:14">
      <c r="A7" s="60">
        <v>4</v>
      </c>
      <c r="B7" s="393" t="s">
        <v>114</v>
      </c>
      <c r="C7" s="393"/>
      <c r="D7" s="393"/>
      <c r="E7" s="393"/>
      <c r="F7" s="393"/>
      <c r="G7" s="393"/>
      <c r="H7" s="77">
        <f>H6*18%</f>
        <v>43644.51</v>
      </c>
    </row>
    <row r="8" spans="1:14">
      <c r="A8" s="60">
        <v>6</v>
      </c>
      <c r="B8" s="393" t="s">
        <v>79</v>
      </c>
      <c r="C8" s="393"/>
      <c r="D8" s="393"/>
      <c r="E8" s="393"/>
      <c r="F8" s="393"/>
      <c r="G8" s="393"/>
      <c r="H8" s="77">
        <f>SUM(H6:H7)</f>
        <v>286114.01</v>
      </c>
    </row>
    <row r="9" spans="1:14">
      <c r="A9" s="394"/>
      <c r="B9" s="395"/>
      <c r="C9" s="395"/>
      <c r="D9" s="395"/>
      <c r="E9" s="395"/>
      <c r="F9" s="395"/>
      <c r="G9" s="395"/>
      <c r="H9" s="396"/>
    </row>
    <row r="10" spans="1:14" ht="153" customHeight="1">
      <c r="A10" s="78" t="s">
        <v>80</v>
      </c>
      <c r="B10" s="389" t="s">
        <v>177</v>
      </c>
      <c r="C10" s="389"/>
      <c r="D10" s="389"/>
      <c r="E10" s="389"/>
      <c r="F10" s="389"/>
      <c r="G10" s="389"/>
      <c r="H10" s="390"/>
    </row>
  </sheetData>
  <mergeCells count="6">
    <mergeCell ref="B10:H10"/>
    <mergeCell ref="C1:D1"/>
    <mergeCell ref="B6:G6"/>
    <mergeCell ref="B7:G7"/>
    <mergeCell ref="B8:G8"/>
    <mergeCell ref="A9:H9"/>
  </mergeCells>
  <pageMargins left="0.7" right="0.7" top="0.75" bottom="0.75" header="0.3" footer="0.3"/>
  <pageSetup orientation="portrait" horizontalDpi="4294967292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N16"/>
  <sheetViews>
    <sheetView topLeftCell="A11" workbookViewId="0">
      <selection activeCell="A3" sqref="A3:H16"/>
    </sheetView>
  </sheetViews>
  <sheetFormatPr defaultColWidth="9.140625" defaultRowHeight="12.75"/>
  <cols>
    <col min="1" max="1" width="5.85546875" style="62" bestFit="1" customWidth="1"/>
    <col min="2" max="2" width="12.5703125" style="62" customWidth="1"/>
    <col min="3" max="3" width="11" style="66" bestFit="1" customWidth="1"/>
    <col min="4" max="4" width="54.28515625" style="62" customWidth="1"/>
    <col min="5" max="5" width="5" style="62" bestFit="1" customWidth="1"/>
    <col min="6" max="6" width="6.28515625" style="62" bestFit="1" customWidth="1"/>
    <col min="7" max="7" width="12.85546875" style="62" bestFit="1" customWidth="1"/>
    <col min="8" max="8" width="18.7109375" style="62" bestFit="1" customWidth="1"/>
    <col min="9" max="9" width="9.140625" style="62"/>
    <col min="10" max="10" width="9.140625" style="66"/>
    <col min="11" max="16384" width="9.140625" style="62"/>
  </cols>
  <sheetData>
    <row r="1" spans="1:14">
      <c r="A1" s="63" t="s">
        <v>62</v>
      </c>
      <c r="B1" s="64" t="s">
        <v>63</v>
      </c>
      <c r="C1" s="391" t="s">
        <v>140</v>
      </c>
      <c r="D1" s="392"/>
      <c r="E1" s="63"/>
      <c r="F1" s="64"/>
      <c r="G1" s="64" t="s">
        <v>64</v>
      </c>
      <c r="H1" s="65"/>
    </row>
    <row r="2" spans="1:14">
      <c r="A2" s="67"/>
      <c r="B2" s="68" t="s">
        <v>65</v>
      </c>
      <c r="C2" s="69">
        <v>43626</v>
      </c>
      <c r="D2" s="70"/>
      <c r="E2" s="67"/>
      <c r="F2" s="68"/>
      <c r="G2" s="68" t="s">
        <v>66</v>
      </c>
      <c r="H2" s="71">
        <v>43636</v>
      </c>
    </row>
    <row r="3" spans="1:14" ht="25.5">
      <c r="A3" s="58" t="s">
        <v>0</v>
      </c>
      <c r="B3" s="59" t="s">
        <v>82</v>
      </c>
      <c r="C3" s="59" t="s">
        <v>25</v>
      </c>
      <c r="D3" s="59" t="s">
        <v>67</v>
      </c>
      <c r="E3" s="59" t="s">
        <v>3</v>
      </c>
      <c r="F3" s="59" t="s">
        <v>68</v>
      </c>
      <c r="G3" s="72" t="s">
        <v>69</v>
      </c>
      <c r="H3" s="72" t="s">
        <v>70</v>
      </c>
      <c r="J3" s="73" t="s">
        <v>117</v>
      </c>
      <c r="K3" s="62" t="s">
        <v>72</v>
      </c>
      <c r="L3" s="62" t="s">
        <v>145</v>
      </c>
      <c r="N3" s="62" t="s">
        <v>74</v>
      </c>
    </row>
    <row r="4" spans="1:14" ht="102">
      <c r="A4" s="60">
        <v>1</v>
      </c>
      <c r="B4" s="74" t="s">
        <v>182</v>
      </c>
      <c r="C4" s="61">
        <v>8481</v>
      </c>
      <c r="D4" s="81" t="s">
        <v>183</v>
      </c>
      <c r="E4" s="61" t="s">
        <v>121</v>
      </c>
      <c r="F4" s="61">
        <v>2</v>
      </c>
      <c r="G4" s="75">
        <f>L4*74*1.3</f>
        <v>22126</v>
      </c>
      <c r="H4" s="76">
        <f t="shared" ref="H4:H11" si="0">G4*F4</f>
        <v>44252</v>
      </c>
      <c r="L4" s="80">
        <v>230</v>
      </c>
    </row>
    <row r="5" spans="1:14" ht="76.5">
      <c r="A5" s="60">
        <v>2</v>
      </c>
      <c r="B5" s="74" t="s">
        <v>184</v>
      </c>
      <c r="C5" s="61">
        <v>8481</v>
      </c>
      <c r="D5" s="81" t="s">
        <v>185</v>
      </c>
      <c r="E5" s="61" t="s">
        <v>121</v>
      </c>
      <c r="F5" s="61">
        <v>4</v>
      </c>
      <c r="G5" s="75">
        <f t="shared" ref="G5:G11" si="1">L5*74*1.3</f>
        <v>25012</v>
      </c>
      <c r="H5" s="76">
        <f t="shared" si="0"/>
        <v>100048</v>
      </c>
      <c r="L5" s="80">
        <v>260</v>
      </c>
    </row>
    <row r="6" spans="1:14" ht="102">
      <c r="A6" s="60">
        <v>3</v>
      </c>
      <c r="B6" s="74" t="s">
        <v>186</v>
      </c>
      <c r="C6" s="61">
        <v>8481</v>
      </c>
      <c r="D6" s="81" t="s">
        <v>187</v>
      </c>
      <c r="E6" s="61" t="s">
        <v>121</v>
      </c>
      <c r="F6" s="61">
        <v>2</v>
      </c>
      <c r="G6" s="75">
        <f t="shared" si="1"/>
        <v>33670</v>
      </c>
      <c r="H6" s="76">
        <f t="shared" si="0"/>
        <v>67340</v>
      </c>
      <c r="L6" s="80">
        <v>350</v>
      </c>
    </row>
    <row r="7" spans="1:14" ht="89.25">
      <c r="A7" s="60">
        <v>4</v>
      </c>
      <c r="B7" s="74" t="s">
        <v>188</v>
      </c>
      <c r="C7" s="61">
        <v>8481</v>
      </c>
      <c r="D7" s="81" t="s">
        <v>189</v>
      </c>
      <c r="E7" s="61" t="s">
        <v>121</v>
      </c>
      <c r="F7" s="61">
        <v>2</v>
      </c>
      <c r="G7" s="75">
        <f t="shared" si="1"/>
        <v>42328</v>
      </c>
      <c r="H7" s="76">
        <f t="shared" si="0"/>
        <v>84656</v>
      </c>
      <c r="L7" s="80">
        <v>440</v>
      </c>
    </row>
    <row r="8" spans="1:14" ht="102">
      <c r="A8" s="60">
        <v>5</v>
      </c>
      <c r="B8" s="74" t="s">
        <v>190</v>
      </c>
      <c r="C8" s="61">
        <v>8481</v>
      </c>
      <c r="D8" s="81" t="s">
        <v>191</v>
      </c>
      <c r="E8" s="61" t="s">
        <v>121</v>
      </c>
      <c r="F8" s="61">
        <v>2</v>
      </c>
      <c r="G8" s="75">
        <f t="shared" si="1"/>
        <v>60606</v>
      </c>
      <c r="H8" s="76">
        <f t="shared" si="0"/>
        <v>121212</v>
      </c>
      <c r="L8" s="80">
        <v>630</v>
      </c>
    </row>
    <row r="9" spans="1:14" ht="102">
      <c r="A9" s="60">
        <v>6</v>
      </c>
      <c r="B9" s="74" t="s">
        <v>192</v>
      </c>
      <c r="C9" s="61">
        <v>8481</v>
      </c>
      <c r="D9" s="81" t="s">
        <v>193</v>
      </c>
      <c r="E9" s="61" t="s">
        <v>121</v>
      </c>
      <c r="F9" s="61">
        <v>5</v>
      </c>
      <c r="G9" s="75">
        <f t="shared" si="1"/>
        <v>93314</v>
      </c>
      <c r="H9" s="76">
        <f t="shared" si="0"/>
        <v>466570</v>
      </c>
      <c r="L9" s="80">
        <v>970</v>
      </c>
    </row>
    <row r="10" spans="1:14" ht="102">
      <c r="A10" s="60">
        <v>7</v>
      </c>
      <c r="B10" s="74" t="s">
        <v>194</v>
      </c>
      <c r="C10" s="61">
        <v>8481</v>
      </c>
      <c r="D10" s="81" t="s">
        <v>195</v>
      </c>
      <c r="E10" s="61" t="s">
        <v>121</v>
      </c>
      <c r="F10" s="61">
        <v>2</v>
      </c>
      <c r="G10" s="75">
        <f t="shared" si="1"/>
        <v>110630</v>
      </c>
      <c r="H10" s="76">
        <f t="shared" si="0"/>
        <v>221260</v>
      </c>
      <c r="L10" s="80">
        <v>1150</v>
      </c>
    </row>
    <row r="11" spans="1:14" ht="102">
      <c r="A11" s="60">
        <v>8</v>
      </c>
      <c r="B11" s="74" t="s">
        <v>192</v>
      </c>
      <c r="C11" s="61">
        <v>8481</v>
      </c>
      <c r="D11" s="81" t="s">
        <v>197</v>
      </c>
      <c r="E11" s="61" t="s">
        <v>121</v>
      </c>
      <c r="F11" s="61">
        <v>2</v>
      </c>
      <c r="G11" s="75">
        <f t="shared" si="1"/>
        <v>93314</v>
      </c>
      <c r="H11" s="76">
        <f t="shared" si="0"/>
        <v>186628</v>
      </c>
      <c r="L11" s="80">
        <v>970</v>
      </c>
    </row>
    <row r="12" spans="1:14">
      <c r="A12" s="60">
        <v>9</v>
      </c>
      <c r="B12" s="393" t="s">
        <v>76</v>
      </c>
      <c r="C12" s="393"/>
      <c r="D12" s="393"/>
      <c r="E12" s="393"/>
      <c r="F12" s="393"/>
      <c r="G12" s="393"/>
      <c r="H12" s="77">
        <f>SUM(H4:H11)</f>
        <v>1291966</v>
      </c>
    </row>
    <row r="13" spans="1:14">
      <c r="A13" s="60">
        <v>10</v>
      </c>
      <c r="B13" s="393" t="s">
        <v>114</v>
      </c>
      <c r="C13" s="393"/>
      <c r="D13" s="393"/>
      <c r="E13" s="393"/>
      <c r="F13" s="393"/>
      <c r="G13" s="393"/>
      <c r="H13" s="77">
        <f>H12*18%</f>
        <v>232553.88</v>
      </c>
    </row>
    <row r="14" spans="1:14">
      <c r="A14" s="60">
        <v>11</v>
      </c>
      <c r="B14" s="393" t="s">
        <v>79</v>
      </c>
      <c r="C14" s="393"/>
      <c r="D14" s="393"/>
      <c r="E14" s="393"/>
      <c r="F14" s="393"/>
      <c r="G14" s="393"/>
      <c r="H14" s="77">
        <f>SUM(H12:H13)</f>
        <v>1524519.88</v>
      </c>
    </row>
    <row r="15" spans="1:14">
      <c r="A15" s="394"/>
      <c r="B15" s="395"/>
      <c r="C15" s="395"/>
      <c r="D15" s="395"/>
      <c r="E15" s="395"/>
      <c r="F15" s="395"/>
      <c r="G15" s="395"/>
      <c r="H15" s="396"/>
    </row>
    <row r="16" spans="1:14" ht="153" customHeight="1">
      <c r="A16" s="78" t="s">
        <v>80</v>
      </c>
      <c r="B16" s="389" t="s">
        <v>196</v>
      </c>
      <c r="C16" s="389"/>
      <c r="D16" s="389"/>
      <c r="E16" s="389"/>
      <c r="F16" s="389"/>
      <c r="G16" s="389"/>
      <c r="H16" s="390"/>
    </row>
  </sheetData>
  <mergeCells count="6">
    <mergeCell ref="B16:H16"/>
    <mergeCell ref="C1:D1"/>
    <mergeCell ref="B12:G12"/>
    <mergeCell ref="B13:G13"/>
    <mergeCell ref="B14:G14"/>
    <mergeCell ref="A15:H1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O7"/>
  <sheetViews>
    <sheetView workbookViewId="0">
      <selection activeCell="A7" sqref="A1:I7"/>
    </sheetView>
  </sheetViews>
  <sheetFormatPr defaultColWidth="9.140625" defaultRowHeight="12.75"/>
  <cols>
    <col min="1" max="1" width="5.85546875" style="30" bestFit="1" customWidth="1"/>
    <col min="2" max="2" width="12.5703125" style="30" customWidth="1"/>
    <col min="3" max="3" width="11" style="30" bestFit="1" customWidth="1"/>
    <col min="4" max="4" width="54.28515625" style="30" customWidth="1"/>
    <col min="5" max="6" width="5" style="30" bestFit="1" customWidth="1"/>
    <col min="7" max="7" width="6.28515625" style="30" bestFit="1" customWidth="1"/>
    <col min="8" max="8" width="12.85546875" style="30" bestFit="1" customWidth="1"/>
    <col min="9" max="9" width="18.28515625" style="30" bestFit="1" customWidth="1"/>
    <col min="10" max="10" width="9.140625" style="30"/>
    <col min="11" max="11" width="10.28515625" style="31" bestFit="1" customWidth="1"/>
    <col min="12" max="16384" width="9.140625" style="30"/>
  </cols>
  <sheetData>
    <row r="1" spans="1:15" ht="25.5">
      <c r="A1" s="37" t="s">
        <v>0</v>
      </c>
      <c r="B1" s="37" t="s">
        <v>81</v>
      </c>
      <c r="C1" s="38" t="s">
        <v>82</v>
      </c>
      <c r="D1" s="38" t="s">
        <v>67</v>
      </c>
      <c r="E1" s="38" t="s">
        <v>25</v>
      </c>
      <c r="F1" s="38" t="s">
        <v>3</v>
      </c>
      <c r="G1" s="38" t="s">
        <v>68</v>
      </c>
      <c r="H1" s="39" t="s">
        <v>69</v>
      </c>
      <c r="I1" s="39" t="s">
        <v>70</v>
      </c>
      <c r="K1" s="40" t="s">
        <v>145</v>
      </c>
      <c r="L1" s="30" t="s">
        <v>72</v>
      </c>
      <c r="M1" s="30" t="s">
        <v>73</v>
      </c>
      <c r="O1" s="30" t="s">
        <v>74</v>
      </c>
    </row>
    <row r="2" spans="1:15" ht="25.5">
      <c r="A2" s="41">
        <v>1</v>
      </c>
      <c r="B2" s="48" t="s">
        <v>198</v>
      </c>
      <c r="C2" s="48" t="s">
        <v>198</v>
      </c>
      <c r="D2" s="42" t="s">
        <v>199</v>
      </c>
      <c r="E2" s="43">
        <v>8481</v>
      </c>
      <c r="F2" s="43" t="s">
        <v>75</v>
      </c>
      <c r="G2" s="41">
        <v>1</v>
      </c>
      <c r="H2" s="44">
        <f>J2*77*1.3</f>
        <v>210210</v>
      </c>
      <c r="I2" s="45">
        <f>H2*G2</f>
        <v>210210</v>
      </c>
      <c r="J2" s="30">
        <v>2100</v>
      </c>
      <c r="K2" s="44">
        <v>2072</v>
      </c>
    </row>
    <row r="3" spans="1:15">
      <c r="A3" s="41">
        <v>2</v>
      </c>
      <c r="B3" s="386" t="s">
        <v>76</v>
      </c>
      <c r="C3" s="386"/>
      <c r="D3" s="386"/>
      <c r="E3" s="386"/>
      <c r="F3" s="386"/>
      <c r="G3" s="386"/>
      <c r="H3" s="386"/>
      <c r="I3" s="46">
        <f>SUM(I2:I2)</f>
        <v>210210</v>
      </c>
    </row>
    <row r="4" spans="1:15">
      <c r="A4" s="41">
        <v>3</v>
      </c>
      <c r="B4" s="386" t="s">
        <v>158</v>
      </c>
      <c r="C4" s="386"/>
      <c r="D4" s="386"/>
      <c r="E4" s="386"/>
      <c r="F4" s="386"/>
      <c r="G4" s="386"/>
      <c r="H4" s="386"/>
      <c r="I4" s="46">
        <f>I3*18%</f>
        <v>37837.799999999996</v>
      </c>
    </row>
    <row r="5" spans="1:15">
      <c r="A5" s="41">
        <v>4</v>
      </c>
      <c r="B5" s="386" t="s">
        <v>79</v>
      </c>
      <c r="C5" s="386"/>
      <c r="D5" s="386"/>
      <c r="E5" s="386"/>
      <c r="F5" s="386"/>
      <c r="G5" s="386"/>
      <c r="H5" s="386"/>
      <c r="I5" s="46">
        <f>SUM(I3:I4)</f>
        <v>248047.8</v>
      </c>
    </row>
    <row r="6" spans="1:15">
      <c r="A6" s="378"/>
      <c r="B6" s="379"/>
      <c r="C6" s="379"/>
      <c r="D6" s="379"/>
      <c r="E6" s="379"/>
      <c r="F6" s="379"/>
      <c r="G6" s="379"/>
      <c r="H6" s="379"/>
      <c r="I6" s="380"/>
    </row>
    <row r="7" spans="1:15" ht="153" customHeight="1">
      <c r="A7" s="47" t="s">
        <v>80</v>
      </c>
      <c r="B7" s="381" t="s">
        <v>200</v>
      </c>
      <c r="C7" s="381"/>
      <c r="D7" s="381"/>
      <c r="E7" s="381"/>
      <c r="F7" s="381"/>
      <c r="G7" s="381"/>
      <c r="H7" s="381"/>
      <c r="I7" s="382"/>
    </row>
  </sheetData>
  <mergeCells count="5">
    <mergeCell ref="B7:I7"/>
    <mergeCell ref="B3:H3"/>
    <mergeCell ref="B4:H4"/>
    <mergeCell ref="B5:H5"/>
    <mergeCell ref="A6:I6"/>
  </mergeCells>
  <pageMargins left="0.7" right="0.7" top="0.75" bottom="0.75" header="0.3" footer="0.3"/>
  <pageSetup orientation="portrait" horizontalDpi="4294967292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/>
  <dimension ref="A1:O12"/>
  <sheetViews>
    <sheetView topLeftCell="A7" workbookViewId="0">
      <selection activeCell="B12" sqref="B12:I12"/>
    </sheetView>
  </sheetViews>
  <sheetFormatPr defaultColWidth="9.140625" defaultRowHeight="12.75"/>
  <cols>
    <col min="1" max="1" width="5.85546875" style="30" bestFit="1" customWidth="1"/>
    <col min="2" max="2" width="12.5703125" style="30" customWidth="1"/>
    <col min="3" max="3" width="11" style="30" bestFit="1" customWidth="1"/>
    <col min="4" max="4" width="54.28515625" style="30" customWidth="1"/>
    <col min="5" max="6" width="5" style="30" bestFit="1" customWidth="1"/>
    <col min="7" max="7" width="6.28515625" style="30" bestFit="1" customWidth="1"/>
    <col min="8" max="8" width="12.85546875" style="30" bestFit="1" customWidth="1"/>
    <col min="9" max="9" width="18.28515625" style="30" bestFit="1" customWidth="1"/>
    <col min="10" max="10" width="9.140625" style="30"/>
    <col min="11" max="11" width="10.28515625" style="31" bestFit="1" customWidth="1"/>
    <col min="12" max="16384" width="9.140625" style="30"/>
  </cols>
  <sheetData>
    <row r="1" spans="1:15" ht="25.5">
      <c r="A1" s="37" t="s">
        <v>0</v>
      </c>
      <c r="B1" s="37" t="s">
        <v>207</v>
      </c>
      <c r="C1" s="38" t="s">
        <v>82</v>
      </c>
      <c r="D1" s="38" t="s">
        <v>67</v>
      </c>
      <c r="E1" s="38" t="s">
        <v>25</v>
      </c>
      <c r="F1" s="38" t="s">
        <v>3</v>
      </c>
      <c r="G1" s="38" t="s">
        <v>68</v>
      </c>
      <c r="H1" s="39" t="s">
        <v>69</v>
      </c>
      <c r="I1" s="39" t="s">
        <v>70</v>
      </c>
      <c r="K1" s="40" t="s">
        <v>145</v>
      </c>
      <c r="L1" s="30" t="s">
        <v>214</v>
      </c>
      <c r="M1" s="30" t="s">
        <v>73</v>
      </c>
      <c r="O1" s="30" t="s">
        <v>74</v>
      </c>
    </row>
    <row r="2" spans="1:15" ht="76.5">
      <c r="A2" s="41">
        <v>1</v>
      </c>
      <c r="B2" s="48">
        <v>10</v>
      </c>
      <c r="C2" s="48" t="s">
        <v>205</v>
      </c>
      <c r="D2" s="42" t="s">
        <v>211</v>
      </c>
      <c r="E2" s="43">
        <v>9026</v>
      </c>
      <c r="F2" s="43" t="s">
        <v>75</v>
      </c>
      <c r="G2" s="41">
        <v>4</v>
      </c>
      <c r="H2" s="44">
        <f t="shared" ref="H2:H7" si="0">J2*80*1.3</f>
        <v>93600</v>
      </c>
      <c r="I2" s="45">
        <f t="shared" ref="I2:I7" si="1">H2*G2</f>
        <v>374400</v>
      </c>
      <c r="J2" s="82">
        <f t="shared" ref="J2:J7" si="2">K2</f>
        <v>900</v>
      </c>
      <c r="K2" s="44">
        <v>900</v>
      </c>
      <c r="L2" s="30">
        <v>1115</v>
      </c>
    </row>
    <row r="3" spans="1:15" ht="76.5">
      <c r="A3" s="41">
        <v>2</v>
      </c>
      <c r="B3" s="48">
        <v>20</v>
      </c>
      <c r="C3" s="48" t="s">
        <v>206</v>
      </c>
      <c r="D3" s="42" t="s">
        <v>212</v>
      </c>
      <c r="E3" s="43">
        <v>9026</v>
      </c>
      <c r="F3" s="43" t="s">
        <v>75</v>
      </c>
      <c r="G3" s="41">
        <v>1</v>
      </c>
      <c r="H3" s="44">
        <f t="shared" si="0"/>
        <v>121680</v>
      </c>
      <c r="I3" s="45">
        <f t="shared" si="1"/>
        <v>121680</v>
      </c>
      <c r="J3" s="82">
        <f t="shared" si="2"/>
        <v>1170</v>
      </c>
      <c r="K3" s="44">
        <v>1170</v>
      </c>
      <c r="L3" s="30">
        <v>1445</v>
      </c>
    </row>
    <row r="4" spans="1:15" ht="63.75">
      <c r="A4" s="41">
        <v>3</v>
      </c>
      <c r="B4" s="48">
        <v>30</v>
      </c>
      <c r="C4" s="48" t="s">
        <v>202</v>
      </c>
      <c r="D4" s="42" t="s">
        <v>213</v>
      </c>
      <c r="E4" s="43">
        <v>9026</v>
      </c>
      <c r="F4" s="43" t="s">
        <v>75</v>
      </c>
      <c r="G4" s="41">
        <v>1</v>
      </c>
      <c r="H4" s="44">
        <f t="shared" si="0"/>
        <v>56160</v>
      </c>
      <c r="I4" s="45">
        <f t="shared" si="1"/>
        <v>56160</v>
      </c>
      <c r="J4" s="82">
        <f t="shared" si="2"/>
        <v>540</v>
      </c>
      <c r="K4" s="44">
        <v>540</v>
      </c>
      <c r="L4" s="30">
        <v>668</v>
      </c>
    </row>
    <row r="5" spans="1:15" ht="76.5">
      <c r="A5" s="41">
        <v>4</v>
      </c>
      <c r="B5" s="48">
        <v>50</v>
      </c>
      <c r="C5" s="48" t="s">
        <v>204</v>
      </c>
      <c r="D5" s="42" t="s">
        <v>208</v>
      </c>
      <c r="E5" s="43">
        <v>9026</v>
      </c>
      <c r="F5" s="43" t="s">
        <v>75</v>
      </c>
      <c r="G5" s="41">
        <v>1</v>
      </c>
      <c r="H5" s="44">
        <f t="shared" si="0"/>
        <v>37440</v>
      </c>
      <c r="I5" s="45">
        <f t="shared" si="1"/>
        <v>37440</v>
      </c>
      <c r="J5" s="82">
        <f t="shared" si="2"/>
        <v>360</v>
      </c>
      <c r="K5" s="44">
        <v>360</v>
      </c>
      <c r="L5" s="30">
        <v>445</v>
      </c>
    </row>
    <row r="6" spans="1:15" ht="51">
      <c r="A6" s="41">
        <v>5</v>
      </c>
      <c r="B6" s="48">
        <v>60</v>
      </c>
      <c r="C6" s="48" t="s">
        <v>203</v>
      </c>
      <c r="D6" s="42" t="s">
        <v>209</v>
      </c>
      <c r="E6" s="43">
        <v>9026</v>
      </c>
      <c r="F6" s="43" t="s">
        <v>75</v>
      </c>
      <c r="G6" s="41">
        <v>1</v>
      </c>
      <c r="H6" s="44">
        <f t="shared" si="0"/>
        <v>187200</v>
      </c>
      <c r="I6" s="45">
        <f t="shared" si="1"/>
        <v>187200</v>
      </c>
      <c r="J6" s="82">
        <f t="shared" si="2"/>
        <v>1800</v>
      </c>
      <c r="K6" s="44">
        <v>1800</v>
      </c>
      <c r="L6" s="30">
        <v>2228</v>
      </c>
    </row>
    <row r="7" spans="1:15" ht="63.75">
      <c r="A7" s="41">
        <v>6</v>
      </c>
      <c r="B7" s="48">
        <v>70</v>
      </c>
      <c r="C7" s="48" t="s">
        <v>201</v>
      </c>
      <c r="D7" s="42" t="s">
        <v>210</v>
      </c>
      <c r="E7" s="43">
        <v>9026</v>
      </c>
      <c r="F7" s="43" t="s">
        <v>75</v>
      </c>
      <c r="G7" s="41">
        <v>1</v>
      </c>
      <c r="H7" s="44">
        <f t="shared" si="0"/>
        <v>37440</v>
      </c>
      <c r="I7" s="45">
        <f t="shared" si="1"/>
        <v>37440</v>
      </c>
      <c r="J7" s="82">
        <f t="shared" si="2"/>
        <v>360</v>
      </c>
      <c r="K7" s="44">
        <v>360</v>
      </c>
      <c r="L7" s="30">
        <v>445</v>
      </c>
    </row>
    <row r="8" spans="1:15">
      <c r="A8" s="41">
        <v>7</v>
      </c>
      <c r="B8" s="386" t="s">
        <v>76</v>
      </c>
      <c r="C8" s="386"/>
      <c r="D8" s="386"/>
      <c r="E8" s="386"/>
      <c r="F8" s="386"/>
      <c r="G8" s="386"/>
      <c r="H8" s="386"/>
      <c r="I8" s="46">
        <f>SUM(I2:I7)</f>
        <v>814320</v>
      </c>
    </row>
    <row r="9" spans="1:15">
      <c r="A9" s="41">
        <v>8</v>
      </c>
      <c r="B9" s="386" t="s">
        <v>158</v>
      </c>
      <c r="C9" s="386"/>
      <c r="D9" s="386"/>
      <c r="E9" s="386"/>
      <c r="F9" s="386"/>
      <c r="G9" s="386"/>
      <c r="H9" s="386"/>
      <c r="I9" s="46">
        <f>I8*18%</f>
        <v>146577.60000000001</v>
      </c>
    </row>
    <row r="10" spans="1:15">
      <c r="A10" s="41">
        <v>9</v>
      </c>
      <c r="B10" s="386" t="s">
        <v>79</v>
      </c>
      <c r="C10" s="386"/>
      <c r="D10" s="386"/>
      <c r="E10" s="386"/>
      <c r="F10" s="386"/>
      <c r="G10" s="386"/>
      <c r="H10" s="386"/>
      <c r="I10" s="46">
        <f>SUM(I8:I9)</f>
        <v>960897.6</v>
      </c>
    </row>
    <row r="11" spans="1:15">
      <c r="A11" s="378"/>
      <c r="B11" s="379"/>
      <c r="C11" s="379"/>
      <c r="D11" s="379"/>
      <c r="E11" s="379"/>
      <c r="F11" s="379"/>
      <c r="G11" s="379"/>
      <c r="H11" s="379"/>
      <c r="I11" s="380"/>
    </row>
    <row r="12" spans="1:15" ht="153" customHeight="1">
      <c r="A12" s="47" t="s">
        <v>80</v>
      </c>
      <c r="B12" s="381" t="s">
        <v>222</v>
      </c>
      <c r="C12" s="381"/>
      <c r="D12" s="381"/>
      <c r="E12" s="381"/>
      <c r="F12" s="381"/>
      <c r="G12" s="381"/>
      <c r="H12" s="381"/>
      <c r="I12" s="382"/>
    </row>
  </sheetData>
  <mergeCells count="5">
    <mergeCell ref="B8:H8"/>
    <mergeCell ref="B9:H9"/>
    <mergeCell ref="B10:H10"/>
    <mergeCell ref="A11:I11"/>
    <mergeCell ref="B12:I12"/>
  </mergeCells>
  <pageMargins left="0.7" right="0.7" top="0.75" bottom="0.75" header="0.3" footer="0.3"/>
  <pageSetup orientation="portrait" horizontalDpi="4294967292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/>
  <dimension ref="A1:N8"/>
  <sheetViews>
    <sheetView workbookViewId="0">
      <selection activeCell="D2" sqref="D2"/>
    </sheetView>
  </sheetViews>
  <sheetFormatPr defaultColWidth="9.140625" defaultRowHeight="12.75"/>
  <cols>
    <col min="1" max="1" width="5.85546875" style="30" bestFit="1" customWidth="1"/>
    <col min="2" max="2" width="12.5703125" style="30" customWidth="1"/>
    <col min="3" max="3" width="11" style="30" bestFit="1" customWidth="1"/>
    <col min="4" max="4" width="54.28515625" style="30" customWidth="1"/>
    <col min="5" max="5" width="5" style="30" bestFit="1" customWidth="1"/>
    <col min="6" max="6" width="6.28515625" style="30" bestFit="1" customWidth="1"/>
    <col min="7" max="7" width="12.85546875" style="30" bestFit="1" customWidth="1"/>
    <col min="8" max="8" width="18.28515625" style="30" bestFit="1" customWidth="1"/>
    <col min="9" max="9" width="9.140625" style="30"/>
    <col min="10" max="10" width="10.28515625" style="31" bestFit="1" customWidth="1"/>
    <col min="11" max="16384" width="9.140625" style="30"/>
  </cols>
  <sheetData>
    <row r="1" spans="1:14" ht="25.5">
      <c r="A1" s="37" t="s">
        <v>0</v>
      </c>
      <c r="B1" s="37" t="s">
        <v>207</v>
      </c>
      <c r="C1" s="38" t="s">
        <v>82</v>
      </c>
      <c r="D1" s="38" t="s">
        <v>67</v>
      </c>
      <c r="E1" s="38" t="s">
        <v>3</v>
      </c>
      <c r="F1" s="38" t="s">
        <v>68</v>
      </c>
      <c r="G1" s="39" t="s">
        <v>69</v>
      </c>
      <c r="H1" s="39" t="s">
        <v>70</v>
      </c>
      <c r="J1" s="40" t="s">
        <v>145</v>
      </c>
      <c r="K1" s="30" t="s">
        <v>214</v>
      </c>
      <c r="L1" s="30" t="s">
        <v>73</v>
      </c>
      <c r="N1" s="30" t="s">
        <v>74</v>
      </c>
    </row>
    <row r="2" spans="1:14" ht="102">
      <c r="A2" s="41">
        <v>1</v>
      </c>
      <c r="B2" s="48">
        <v>10</v>
      </c>
      <c r="C2" s="48" t="s">
        <v>215</v>
      </c>
      <c r="D2" s="42" t="s">
        <v>223</v>
      </c>
      <c r="E2" s="43" t="s">
        <v>75</v>
      </c>
      <c r="F2" s="41">
        <v>3</v>
      </c>
      <c r="G2" s="44">
        <f>I2*85*1.3</f>
        <v>55250</v>
      </c>
      <c r="H2" s="45">
        <f>G2*F2</f>
        <v>165750</v>
      </c>
      <c r="I2" s="82">
        <v>500</v>
      </c>
      <c r="J2" s="44">
        <v>445</v>
      </c>
    </row>
    <row r="3" spans="1:14" ht="114.75">
      <c r="A3" s="41">
        <v>2</v>
      </c>
      <c r="B3" s="48">
        <v>20</v>
      </c>
      <c r="C3" s="48" t="s">
        <v>216</v>
      </c>
      <c r="D3" s="42" t="s">
        <v>224</v>
      </c>
      <c r="E3" s="43" t="s">
        <v>75</v>
      </c>
      <c r="F3" s="41">
        <v>3</v>
      </c>
      <c r="G3" s="44">
        <f>I3*80*1.3</f>
        <v>52000</v>
      </c>
      <c r="H3" s="45">
        <f>G3*F3</f>
        <v>156000</v>
      </c>
      <c r="I3" s="82">
        <v>500</v>
      </c>
      <c r="J3" s="44">
        <v>445</v>
      </c>
    </row>
    <row r="4" spans="1:14">
      <c r="A4" s="41">
        <v>3</v>
      </c>
      <c r="B4" s="386" t="s">
        <v>76</v>
      </c>
      <c r="C4" s="386"/>
      <c r="D4" s="386"/>
      <c r="E4" s="386"/>
      <c r="F4" s="386"/>
      <c r="G4" s="386"/>
      <c r="H4" s="46">
        <f>SUM(H2:H3)</f>
        <v>321750</v>
      </c>
    </row>
    <row r="5" spans="1:14">
      <c r="A5" s="41">
        <v>4</v>
      </c>
      <c r="B5" s="386" t="s">
        <v>402</v>
      </c>
      <c r="C5" s="386"/>
      <c r="D5" s="386"/>
      <c r="E5" s="386"/>
      <c r="F5" s="386"/>
      <c r="G5" s="386"/>
      <c r="H5" s="46">
        <f>H4*18%</f>
        <v>57915</v>
      </c>
    </row>
    <row r="6" spans="1:14">
      <c r="A6" s="41">
        <v>5</v>
      </c>
      <c r="B6" s="386" t="s">
        <v>79</v>
      </c>
      <c r="C6" s="386"/>
      <c r="D6" s="386"/>
      <c r="E6" s="386"/>
      <c r="F6" s="386"/>
      <c r="G6" s="386"/>
      <c r="H6" s="46">
        <f>SUM(H4:H5)</f>
        <v>379665</v>
      </c>
    </row>
    <row r="7" spans="1:14">
      <c r="A7" s="378"/>
      <c r="B7" s="379"/>
      <c r="C7" s="379"/>
      <c r="D7" s="379"/>
      <c r="E7" s="379"/>
      <c r="F7" s="379"/>
      <c r="G7" s="379"/>
      <c r="H7" s="380"/>
    </row>
    <row r="8" spans="1:14" ht="153" customHeight="1">
      <c r="A8" s="47" t="s">
        <v>80</v>
      </c>
      <c r="B8" s="381" t="s">
        <v>222</v>
      </c>
      <c r="C8" s="381"/>
      <c r="D8" s="381"/>
      <c r="E8" s="381"/>
      <c r="F8" s="381"/>
      <c r="G8" s="381"/>
      <c r="H8" s="382"/>
    </row>
  </sheetData>
  <mergeCells count="5">
    <mergeCell ref="B4:G4"/>
    <mergeCell ref="B5:G5"/>
    <mergeCell ref="B6:G6"/>
    <mergeCell ref="A7:H7"/>
    <mergeCell ref="B8:H8"/>
  </mergeCells>
  <pageMargins left="0.7" right="0.7" top="0.75" bottom="0.75" header="0.3" footer="0.3"/>
  <pageSetup orientation="portrait" horizontalDpi="4294967292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O10"/>
  <sheetViews>
    <sheetView workbookViewId="0">
      <selection activeCell="D4" sqref="D4"/>
    </sheetView>
  </sheetViews>
  <sheetFormatPr defaultColWidth="9.140625" defaultRowHeight="12.75"/>
  <cols>
    <col min="1" max="1" width="5.85546875" style="30" bestFit="1" customWidth="1"/>
    <col min="2" max="2" width="12.5703125" style="30" customWidth="1"/>
    <col min="3" max="3" width="11" style="30" bestFit="1" customWidth="1"/>
    <col min="4" max="4" width="54.28515625" style="30" customWidth="1"/>
    <col min="5" max="6" width="5" style="30" bestFit="1" customWidth="1"/>
    <col min="7" max="7" width="6.28515625" style="30" bestFit="1" customWidth="1"/>
    <col min="8" max="8" width="12.85546875" style="30" bestFit="1" customWidth="1"/>
    <col min="9" max="9" width="18.28515625" style="30" bestFit="1" customWidth="1"/>
    <col min="10" max="10" width="9.140625" style="30"/>
    <col min="11" max="11" width="10.28515625" style="31" bestFit="1" customWidth="1"/>
    <col min="12" max="16384" width="9.140625" style="30"/>
  </cols>
  <sheetData>
    <row r="1" spans="1:15" ht="25.5">
      <c r="A1" s="37" t="s">
        <v>0</v>
      </c>
      <c r="B1" s="37" t="s">
        <v>207</v>
      </c>
      <c r="C1" s="38" t="s">
        <v>82</v>
      </c>
      <c r="D1" s="38" t="s">
        <v>67</v>
      </c>
      <c r="E1" s="38" t="s">
        <v>25</v>
      </c>
      <c r="F1" s="38" t="s">
        <v>3</v>
      </c>
      <c r="G1" s="38" t="s">
        <v>68</v>
      </c>
      <c r="H1" s="39" t="s">
        <v>69</v>
      </c>
      <c r="I1" s="39" t="s">
        <v>70</v>
      </c>
      <c r="K1" s="40" t="s">
        <v>145</v>
      </c>
      <c r="L1" s="30" t="s">
        <v>214</v>
      </c>
      <c r="M1" s="30" t="s">
        <v>73</v>
      </c>
      <c r="O1" s="30" t="s">
        <v>74</v>
      </c>
    </row>
    <row r="2" spans="1:15" ht="89.25">
      <c r="A2" s="41">
        <v>1</v>
      </c>
      <c r="B2" s="48">
        <v>10</v>
      </c>
      <c r="C2" s="48" t="s">
        <v>217</v>
      </c>
      <c r="D2" s="42" t="s">
        <v>225</v>
      </c>
      <c r="E2" s="43">
        <v>8053</v>
      </c>
      <c r="F2" s="43" t="s">
        <v>221</v>
      </c>
      <c r="G2" s="41">
        <v>16</v>
      </c>
      <c r="H2" s="44">
        <f>J2*80*1.3</f>
        <v>10088</v>
      </c>
      <c r="I2" s="45">
        <f>H2*G2</f>
        <v>161408</v>
      </c>
      <c r="J2" s="30">
        <v>97</v>
      </c>
      <c r="K2" s="44">
        <v>80</v>
      </c>
    </row>
    <row r="3" spans="1:15" ht="127.5">
      <c r="A3" s="41">
        <v>2</v>
      </c>
      <c r="B3" s="48">
        <v>20</v>
      </c>
      <c r="C3" s="48" t="s">
        <v>218</v>
      </c>
      <c r="D3" s="42" t="s">
        <v>226</v>
      </c>
      <c r="E3" s="43">
        <v>8053</v>
      </c>
      <c r="F3" s="43" t="s">
        <v>75</v>
      </c>
      <c r="G3" s="41">
        <v>1</v>
      </c>
      <c r="H3" s="44">
        <f>J3*80*1.3</f>
        <v>166400</v>
      </c>
      <c r="I3" s="45">
        <f>H3*G3</f>
        <v>166400</v>
      </c>
      <c r="J3" s="30">
        <v>1600</v>
      </c>
      <c r="K3" s="44">
        <v>1595</v>
      </c>
    </row>
    <row r="4" spans="1:15" ht="114.75">
      <c r="A4" s="41">
        <v>3</v>
      </c>
      <c r="B4" s="48">
        <v>30</v>
      </c>
      <c r="C4" s="48" t="s">
        <v>219</v>
      </c>
      <c r="D4" s="42" t="s">
        <v>227</v>
      </c>
      <c r="E4" s="43">
        <v>8053</v>
      </c>
      <c r="F4" s="43" t="s">
        <v>75</v>
      </c>
      <c r="G4" s="41">
        <v>2</v>
      </c>
      <c r="H4" s="44">
        <f>J4*80*1.3</f>
        <v>350480</v>
      </c>
      <c r="I4" s="45">
        <f>H4*G4</f>
        <v>700960</v>
      </c>
      <c r="J4" s="30">
        <v>3370</v>
      </c>
      <c r="K4" s="44">
        <v>3350</v>
      </c>
    </row>
    <row r="5" spans="1:15" ht="153">
      <c r="A5" s="41">
        <v>4</v>
      </c>
      <c r="B5" s="48">
        <v>40</v>
      </c>
      <c r="C5" s="48" t="s">
        <v>220</v>
      </c>
      <c r="D5" s="42" t="s">
        <v>228</v>
      </c>
      <c r="E5" s="43">
        <v>8053</v>
      </c>
      <c r="F5" s="43" t="s">
        <v>75</v>
      </c>
      <c r="G5" s="41">
        <v>1</v>
      </c>
      <c r="H5" s="44">
        <f>J5*80*1.3</f>
        <v>159640</v>
      </c>
      <c r="I5" s="45">
        <f>H5*G5</f>
        <v>159640</v>
      </c>
      <c r="J5" s="30">
        <v>1535</v>
      </c>
      <c r="K5" s="44">
        <v>1523</v>
      </c>
    </row>
    <row r="6" spans="1:15">
      <c r="A6" s="41">
        <v>5</v>
      </c>
      <c r="B6" s="386" t="s">
        <v>76</v>
      </c>
      <c r="C6" s="386"/>
      <c r="D6" s="386"/>
      <c r="E6" s="386"/>
      <c r="F6" s="386"/>
      <c r="G6" s="386"/>
      <c r="H6" s="386"/>
      <c r="I6" s="46">
        <f>SUM(I2:I5)</f>
        <v>1188408</v>
      </c>
    </row>
    <row r="7" spans="1:15">
      <c r="A7" s="41">
        <v>6</v>
      </c>
      <c r="B7" s="386" t="s">
        <v>158</v>
      </c>
      <c r="C7" s="386"/>
      <c r="D7" s="386"/>
      <c r="E7" s="386"/>
      <c r="F7" s="386"/>
      <c r="G7" s="386"/>
      <c r="H7" s="386"/>
      <c r="I7" s="46">
        <f>I6*18%</f>
        <v>213913.44</v>
      </c>
    </row>
    <row r="8" spans="1:15">
      <c r="A8" s="41">
        <v>7</v>
      </c>
      <c r="B8" s="386" t="s">
        <v>79</v>
      </c>
      <c r="C8" s="386"/>
      <c r="D8" s="386"/>
      <c r="E8" s="386"/>
      <c r="F8" s="386"/>
      <c r="G8" s="386"/>
      <c r="H8" s="386"/>
      <c r="I8" s="46">
        <f>SUM(I6:I7)</f>
        <v>1402321.44</v>
      </c>
    </row>
    <row r="9" spans="1:15">
      <c r="A9" s="378"/>
      <c r="B9" s="379"/>
      <c r="C9" s="379"/>
      <c r="D9" s="379"/>
      <c r="E9" s="379"/>
      <c r="F9" s="379"/>
      <c r="G9" s="379"/>
      <c r="H9" s="379"/>
      <c r="I9" s="380"/>
    </row>
    <row r="10" spans="1:15" ht="153" customHeight="1">
      <c r="A10" s="47" t="s">
        <v>80</v>
      </c>
      <c r="B10" s="381" t="s">
        <v>200</v>
      </c>
      <c r="C10" s="381"/>
      <c r="D10" s="381"/>
      <c r="E10" s="381"/>
      <c r="F10" s="381"/>
      <c r="G10" s="381"/>
      <c r="H10" s="381"/>
      <c r="I10" s="382"/>
    </row>
  </sheetData>
  <mergeCells count="5">
    <mergeCell ref="B6:H6"/>
    <mergeCell ref="B7:H7"/>
    <mergeCell ref="B8:H8"/>
    <mergeCell ref="A9:I9"/>
    <mergeCell ref="B10:I10"/>
  </mergeCells>
  <pageMargins left="0.7" right="0.7" top="0.75" bottom="0.75" header="0.3" footer="0.3"/>
  <pageSetup orientation="portrait" horizontalDpi="4294967292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O7"/>
  <sheetViews>
    <sheetView workbookViewId="0">
      <selection activeCell="D2" sqref="D2"/>
    </sheetView>
  </sheetViews>
  <sheetFormatPr defaultColWidth="9.140625" defaultRowHeight="12.75"/>
  <cols>
    <col min="1" max="1" width="5.85546875" style="30" bestFit="1" customWidth="1"/>
    <col min="2" max="2" width="12.5703125" style="30" customWidth="1"/>
    <col min="3" max="3" width="11" style="30" bestFit="1" customWidth="1"/>
    <col min="4" max="4" width="54.28515625" style="30" customWidth="1"/>
    <col min="5" max="6" width="5" style="30" bestFit="1" customWidth="1"/>
    <col min="7" max="7" width="6.28515625" style="30" bestFit="1" customWidth="1"/>
    <col min="8" max="8" width="12.85546875" style="30" bestFit="1" customWidth="1"/>
    <col min="9" max="9" width="18.28515625" style="30" bestFit="1" customWidth="1"/>
    <col min="10" max="10" width="9.140625" style="30"/>
    <col min="11" max="11" width="10.28515625" style="31" bestFit="1" customWidth="1"/>
    <col min="12" max="16384" width="9.140625" style="30"/>
  </cols>
  <sheetData>
    <row r="1" spans="1:15" ht="25.5">
      <c r="A1" s="37" t="s">
        <v>0</v>
      </c>
      <c r="B1" s="37" t="s">
        <v>207</v>
      </c>
      <c r="C1" s="38" t="s">
        <v>82</v>
      </c>
      <c r="D1" s="38" t="s">
        <v>67</v>
      </c>
      <c r="E1" s="38" t="s">
        <v>25</v>
      </c>
      <c r="F1" s="38" t="s">
        <v>3</v>
      </c>
      <c r="G1" s="38" t="s">
        <v>68</v>
      </c>
      <c r="H1" s="39" t="s">
        <v>69</v>
      </c>
      <c r="I1" s="39" t="s">
        <v>70</v>
      </c>
      <c r="K1" s="40" t="s">
        <v>145</v>
      </c>
      <c r="L1" s="30" t="s">
        <v>119</v>
      </c>
      <c r="M1" s="30" t="s">
        <v>73</v>
      </c>
      <c r="O1" s="30" t="s">
        <v>74</v>
      </c>
    </row>
    <row r="2" spans="1:15" ht="25.5">
      <c r="A2" s="41">
        <v>1</v>
      </c>
      <c r="B2" s="48">
        <v>10</v>
      </c>
      <c r="C2" s="48" t="s">
        <v>198</v>
      </c>
      <c r="D2" s="42" t="s">
        <v>278</v>
      </c>
      <c r="E2" s="43">
        <v>8536</v>
      </c>
      <c r="F2" s="43" t="s">
        <v>221</v>
      </c>
      <c r="G2" s="41">
        <v>1</v>
      </c>
      <c r="H2" s="44">
        <f>J2*80*1.3</f>
        <v>249600</v>
      </c>
      <c r="I2" s="45">
        <f>H2*G2</f>
        <v>249600</v>
      </c>
      <c r="J2" s="30">
        <v>2400</v>
      </c>
      <c r="K2" s="44">
        <v>2390</v>
      </c>
      <c r="L2" s="30">
        <v>2290</v>
      </c>
    </row>
    <row r="3" spans="1:15">
      <c r="A3" s="41">
        <v>2</v>
      </c>
      <c r="B3" s="386" t="s">
        <v>76</v>
      </c>
      <c r="C3" s="386"/>
      <c r="D3" s="386"/>
      <c r="E3" s="386"/>
      <c r="F3" s="386"/>
      <c r="G3" s="386"/>
      <c r="H3" s="386"/>
      <c r="I3" s="46">
        <f>I2</f>
        <v>249600</v>
      </c>
    </row>
    <row r="4" spans="1:15">
      <c r="A4" s="41">
        <v>3</v>
      </c>
      <c r="B4" s="386" t="s">
        <v>158</v>
      </c>
      <c r="C4" s="386"/>
      <c r="D4" s="386"/>
      <c r="E4" s="386"/>
      <c r="F4" s="386"/>
      <c r="G4" s="386"/>
      <c r="H4" s="386"/>
      <c r="I4" s="46">
        <f>I3*18%</f>
        <v>44928</v>
      </c>
    </row>
    <row r="5" spans="1:15">
      <c r="A5" s="41">
        <v>4</v>
      </c>
      <c r="B5" s="386" t="s">
        <v>79</v>
      </c>
      <c r="C5" s="386"/>
      <c r="D5" s="386"/>
      <c r="E5" s="386"/>
      <c r="F5" s="386"/>
      <c r="G5" s="386"/>
      <c r="H5" s="386"/>
      <c r="I5" s="46">
        <f>SUM(I3:I4)</f>
        <v>294528</v>
      </c>
    </row>
    <row r="6" spans="1:15">
      <c r="A6" s="378"/>
      <c r="B6" s="379"/>
      <c r="C6" s="379"/>
      <c r="D6" s="379"/>
      <c r="E6" s="379"/>
      <c r="F6" s="379"/>
      <c r="G6" s="379"/>
      <c r="H6" s="379"/>
      <c r="I6" s="380"/>
    </row>
    <row r="7" spans="1:15" ht="153" customHeight="1">
      <c r="A7" s="47" t="s">
        <v>80</v>
      </c>
      <c r="B7" s="381" t="s">
        <v>279</v>
      </c>
      <c r="C7" s="381"/>
      <c r="D7" s="381"/>
      <c r="E7" s="381"/>
      <c r="F7" s="381"/>
      <c r="G7" s="381"/>
      <c r="H7" s="381"/>
      <c r="I7" s="382"/>
    </row>
  </sheetData>
  <mergeCells count="5">
    <mergeCell ref="B3:H3"/>
    <mergeCell ref="B4:H4"/>
    <mergeCell ref="B5:H5"/>
    <mergeCell ref="A6:I6"/>
    <mergeCell ref="B7:I7"/>
  </mergeCells>
  <pageMargins left="0.7" right="0.7" top="0.75" bottom="0.75" header="0.3" footer="0.3"/>
  <pageSetup orientation="portrait" horizontalDpi="4294967292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O19"/>
  <sheetViews>
    <sheetView topLeftCell="A9" workbookViewId="0">
      <selection activeCell="D12" sqref="D12"/>
    </sheetView>
  </sheetViews>
  <sheetFormatPr defaultColWidth="9.140625" defaultRowHeight="12.75"/>
  <cols>
    <col min="1" max="1" width="5.85546875" style="30" bestFit="1" customWidth="1"/>
    <col min="2" max="2" width="12.5703125" style="30" customWidth="1"/>
    <col min="3" max="3" width="17.42578125" style="30" bestFit="1" customWidth="1"/>
    <col min="4" max="4" width="46.28515625" style="30" customWidth="1"/>
    <col min="5" max="6" width="5" style="30" bestFit="1" customWidth="1"/>
    <col min="7" max="7" width="6.28515625" style="30" bestFit="1" customWidth="1"/>
    <col min="8" max="8" width="12.85546875" style="30" bestFit="1" customWidth="1"/>
    <col min="9" max="9" width="18.28515625" style="30" bestFit="1" customWidth="1"/>
    <col min="10" max="10" width="9.140625" style="30"/>
    <col min="11" max="11" width="10.28515625" style="31" bestFit="1" customWidth="1"/>
    <col min="12" max="16384" width="9.140625" style="30"/>
  </cols>
  <sheetData>
    <row r="1" spans="1:15" ht="25.5">
      <c r="A1" s="37" t="s">
        <v>0</v>
      </c>
      <c r="B1" s="37" t="s">
        <v>242</v>
      </c>
      <c r="C1" s="38" t="s">
        <v>82</v>
      </c>
      <c r="D1" s="38" t="s">
        <v>67</v>
      </c>
      <c r="E1" s="38" t="s">
        <v>25</v>
      </c>
      <c r="F1" s="38" t="s">
        <v>3</v>
      </c>
      <c r="G1" s="38" t="s">
        <v>68</v>
      </c>
      <c r="H1" s="39" t="s">
        <v>69</v>
      </c>
      <c r="I1" s="39" t="s">
        <v>70</v>
      </c>
      <c r="K1" s="40" t="s">
        <v>145</v>
      </c>
      <c r="L1" s="30" t="s">
        <v>214</v>
      </c>
      <c r="M1" s="30" t="s">
        <v>73</v>
      </c>
      <c r="O1" s="30" t="s">
        <v>74</v>
      </c>
    </row>
    <row r="2" spans="1:15" ht="51">
      <c r="A2" s="41">
        <v>1</v>
      </c>
      <c r="B2" s="48">
        <v>10</v>
      </c>
      <c r="C2" s="48" t="s">
        <v>229</v>
      </c>
      <c r="D2" s="85" t="s">
        <v>243</v>
      </c>
      <c r="E2" s="51"/>
      <c r="F2" s="43" t="s">
        <v>75</v>
      </c>
      <c r="G2" s="84">
        <v>6</v>
      </c>
      <c r="H2" s="83">
        <f t="shared" ref="H2:H14" si="0">J2*80*1.3</f>
        <v>0</v>
      </c>
      <c r="I2" s="45">
        <f t="shared" ref="I2:I7" si="1">H2*G2</f>
        <v>0</v>
      </c>
      <c r="K2" s="44"/>
    </row>
    <row r="3" spans="1:15" ht="51">
      <c r="A3" s="41">
        <v>2</v>
      </c>
      <c r="B3" s="48">
        <v>20</v>
      </c>
      <c r="C3" s="48" t="s">
        <v>230</v>
      </c>
      <c r="D3" s="85" t="s">
        <v>244</v>
      </c>
      <c r="E3" s="51"/>
      <c r="F3" s="43" t="s">
        <v>75</v>
      </c>
      <c r="G3" s="84">
        <v>4</v>
      </c>
      <c r="H3" s="83">
        <f t="shared" si="0"/>
        <v>0</v>
      </c>
      <c r="I3" s="45">
        <f t="shared" si="1"/>
        <v>0</v>
      </c>
      <c r="K3" s="44"/>
    </row>
    <row r="4" spans="1:15" ht="51">
      <c r="A4" s="41">
        <v>3</v>
      </c>
      <c r="B4" s="48">
        <v>30</v>
      </c>
      <c r="C4" s="48" t="s">
        <v>231</v>
      </c>
      <c r="D4" s="85" t="s">
        <v>245</v>
      </c>
      <c r="E4" s="51"/>
      <c r="F4" s="43" t="s">
        <v>75</v>
      </c>
      <c r="G4" s="84">
        <v>4</v>
      </c>
      <c r="H4" s="83">
        <f t="shared" si="0"/>
        <v>0</v>
      </c>
      <c r="I4" s="45">
        <f t="shared" si="1"/>
        <v>0</v>
      </c>
      <c r="K4" s="44"/>
    </row>
    <row r="5" spans="1:15" ht="38.25">
      <c r="A5" s="41">
        <v>4</v>
      </c>
      <c r="B5" s="48">
        <v>40</v>
      </c>
      <c r="C5" s="48" t="s">
        <v>232</v>
      </c>
      <c r="D5" s="85" t="s">
        <v>246</v>
      </c>
      <c r="E5" s="51"/>
      <c r="F5" s="43" t="s">
        <v>75</v>
      </c>
      <c r="G5" s="84">
        <v>15</v>
      </c>
      <c r="H5" s="83">
        <f t="shared" si="0"/>
        <v>0</v>
      </c>
      <c r="I5" s="45">
        <f t="shared" si="1"/>
        <v>0</v>
      </c>
      <c r="K5" s="44"/>
    </row>
    <row r="6" spans="1:15" ht="76.5">
      <c r="A6" s="41">
        <v>5</v>
      </c>
      <c r="B6" s="48">
        <v>50</v>
      </c>
      <c r="C6" s="48" t="s">
        <v>233</v>
      </c>
      <c r="D6" s="85" t="s">
        <v>247</v>
      </c>
      <c r="E6" s="51"/>
      <c r="F6" s="43" t="s">
        <v>75</v>
      </c>
      <c r="G6" s="84">
        <v>4</v>
      </c>
      <c r="H6" s="83">
        <f t="shared" si="0"/>
        <v>0</v>
      </c>
      <c r="I6" s="45">
        <f t="shared" si="1"/>
        <v>0</v>
      </c>
      <c r="K6" s="44"/>
    </row>
    <row r="7" spans="1:15" ht="51">
      <c r="A7" s="41">
        <v>6</v>
      </c>
      <c r="B7" s="48">
        <v>60</v>
      </c>
      <c r="C7" s="48" t="s">
        <v>234</v>
      </c>
      <c r="D7" s="85" t="s">
        <v>248</v>
      </c>
      <c r="E7" s="51"/>
      <c r="F7" s="43" t="s">
        <v>75</v>
      </c>
      <c r="G7" s="84">
        <v>2</v>
      </c>
      <c r="H7" s="83">
        <f t="shared" si="0"/>
        <v>0</v>
      </c>
      <c r="I7" s="45">
        <f t="shared" si="1"/>
        <v>0</v>
      </c>
      <c r="K7" s="44"/>
    </row>
    <row r="8" spans="1:15" ht="102">
      <c r="A8" s="41">
        <v>7</v>
      </c>
      <c r="B8" s="48">
        <v>70</v>
      </c>
      <c r="C8" s="48" t="s">
        <v>235</v>
      </c>
      <c r="D8" s="85" t="s">
        <v>249</v>
      </c>
      <c r="E8" s="51"/>
      <c r="F8" s="43" t="s">
        <v>75</v>
      </c>
      <c r="G8" s="84">
        <v>2</v>
      </c>
      <c r="H8" s="83">
        <f t="shared" si="0"/>
        <v>0</v>
      </c>
      <c r="I8" s="45">
        <f t="shared" ref="I8:I14" si="2">H8*G8</f>
        <v>0</v>
      </c>
      <c r="K8" s="44"/>
    </row>
    <row r="9" spans="1:15" ht="76.5">
      <c r="A9" s="41">
        <v>8</v>
      </c>
      <c r="B9" s="48">
        <v>80</v>
      </c>
      <c r="C9" s="48" t="s">
        <v>236</v>
      </c>
      <c r="D9" s="85" t="s">
        <v>250</v>
      </c>
      <c r="E9" s="51"/>
      <c r="F9" s="43" t="s">
        <v>75</v>
      </c>
      <c r="G9" s="84">
        <v>10</v>
      </c>
      <c r="H9" s="83">
        <f t="shared" si="0"/>
        <v>0</v>
      </c>
      <c r="I9" s="45">
        <f t="shared" si="2"/>
        <v>0</v>
      </c>
      <c r="K9" s="44"/>
    </row>
    <row r="10" spans="1:15" ht="76.5">
      <c r="A10" s="41">
        <v>9</v>
      </c>
      <c r="B10" s="48">
        <v>90</v>
      </c>
      <c r="C10" s="48" t="s">
        <v>237</v>
      </c>
      <c r="D10" s="85" t="s">
        <v>251</v>
      </c>
      <c r="E10" s="51"/>
      <c r="F10" s="43" t="s">
        <v>75</v>
      </c>
      <c r="G10" s="84">
        <v>1</v>
      </c>
      <c r="H10" s="83">
        <f t="shared" si="0"/>
        <v>0</v>
      </c>
      <c r="I10" s="45">
        <f t="shared" si="2"/>
        <v>0</v>
      </c>
      <c r="K10" s="44"/>
    </row>
    <row r="11" spans="1:15" ht="76.5">
      <c r="A11" s="41">
        <v>10</v>
      </c>
      <c r="B11" s="48">
        <v>100</v>
      </c>
      <c r="C11" s="48" t="s">
        <v>238</v>
      </c>
      <c r="D11" s="85" t="s">
        <v>252</v>
      </c>
      <c r="E11" s="51"/>
      <c r="F11" s="43" t="s">
        <v>75</v>
      </c>
      <c r="G11" s="84">
        <v>1</v>
      </c>
      <c r="H11" s="83">
        <f t="shared" si="0"/>
        <v>0</v>
      </c>
      <c r="I11" s="45">
        <f t="shared" si="2"/>
        <v>0</v>
      </c>
      <c r="K11" s="44"/>
    </row>
    <row r="12" spans="1:15" ht="38.25">
      <c r="A12" s="41">
        <v>11</v>
      </c>
      <c r="B12" s="48">
        <v>110</v>
      </c>
      <c r="C12" s="48" t="s">
        <v>239</v>
      </c>
      <c r="D12" s="85" t="s">
        <v>253</v>
      </c>
      <c r="E12" s="51"/>
      <c r="F12" s="43" t="s">
        <v>75</v>
      </c>
      <c r="G12" s="84">
        <v>2</v>
      </c>
      <c r="H12" s="83">
        <f t="shared" si="0"/>
        <v>0</v>
      </c>
      <c r="I12" s="45">
        <f t="shared" si="2"/>
        <v>0</v>
      </c>
      <c r="K12" s="44"/>
    </row>
    <row r="13" spans="1:15" ht="89.25">
      <c r="A13" s="41">
        <v>12</v>
      </c>
      <c r="B13" s="48">
        <v>120</v>
      </c>
      <c r="C13" s="48" t="s">
        <v>240</v>
      </c>
      <c r="D13" s="85" t="s">
        <v>254</v>
      </c>
      <c r="E13" s="51"/>
      <c r="F13" s="43" t="s">
        <v>75</v>
      </c>
      <c r="G13" s="84">
        <v>4</v>
      </c>
      <c r="H13" s="83">
        <f t="shared" si="0"/>
        <v>0</v>
      </c>
      <c r="I13" s="45">
        <f t="shared" si="2"/>
        <v>0</v>
      </c>
      <c r="K13" s="44"/>
    </row>
    <row r="14" spans="1:15" ht="76.5">
      <c r="A14" s="41">
        <v>13</v>
      </c>
      <c r="B14" s="48">
        <v>130</v>
      </c>
      <c r="C14" s="48" t="s">
        <v>241</v>
      </c>
      <c r="D14" s="85" t="s">
        <v>255</v>
      </c>
      <c r="E14" s="51"/>
      <c r="F14" s="43" t="s">
        <v>75</v>
      </c>
      <c r="G14" s="84">
        <v>15</v>
      </c>
      <c r="H14" s="83">
        <f t="shared" si="0"/>
        <v>0</v>
      </c>
      <c r="I14" s="45">
        <f t="shared" si="2"/>
        <v>0</v>
      </c>
      <c r="K14" s="44"/>
    </row>
    <row r="15" spans="1:15">
      <c r="A15" s="41">
        <v>14</v>
      </c>
      <c r="B15" s="386" t="s">
        <v>76</v>
      </c>
      <c r="C15" s="386"/>
      <c r="D15" s="386"/>
      <c r="E15" s="386"/>
      <c r="F15" s="386"/>
      <c r="G15" s="386"/>
      <c r="H15" s="386"/>
      <c r="I15" s="46">
        <f>SUM(I12:I14)</f>
        <v>0</v>
      </c>
    </row>
    <row r="16" spans="1:15">
      <c r="A16" s="41">
        <v>15</v>
      </c>
      <c r="B16" s="386" t="s">
        <v>158</v>
      </c>
      <c r="C16" s="386"/>
      <c r="D16" s="386"/>
      <c r="E16" s="386"/>
      <c r="F16" s="386"/>
      <c r="G16" s="386"/>
      <c r="H16" s="386"/>
      <c r="I16" s="46">
        <f>I15*18%</f>
        <v>0</v>
      </c>
    </row>
    <row r="17" spans="1:9">
      <c r="A17" s="41">
        <v>16</v>
      </c>
      <c r="B17" s="386" t="s">
        <v>79</v>
      </c>
      <c r="C17" s="386"/>
      <c r="D17" s="386"/>
      <c r="E17" s="386"/>
      <c r="F17" s="386"/>
      <c r="G17" s="386"/>
      <c r="H17" s="386"/>
      <c r="I17" s="46">
        <f>SUM(I15:I16)</f>
        <v>0</v>
      </c>
    </row>
    <row r="18" spans="1:9">
      <c r="A18" s="378"/>
      <c r="B18" s="379"/>
      <c r="C18" s="379"/>
      <c r="D18" s="379"/>
      <c r="E18" s="379"/>
      <c r="F18" s="379"/>
      <c r="G18" s="379"/>
      <c r="H18" s="379"/>
      <c r="I18" s="380"/>
    </row>
    <row r="19" spans="1:9" ht="153" customHeight="1">
      <c r="A19" s="47" t="s">
        <v>80</v>
      </c>
      <c r="B19" s="381" t="s">
        <v>200</v>
      </c>
      <c r="C19" s="381"/>
      <c r="D19" s="381"/>
      <c r="E19" s="381"/>
      <c r="F19" s="381"/>
      <c r="G19" s="381"/>
      <c r="H19" s="381"/>
      <c r="I19" s="382"/>
    </row>
  </sheetData>
  <mergeCells count="5">
    <mergeCell ref="B15:H15"/>
    <mergeCell ref="B16:H16"/>
    <mergeCell ref="B17:H17"/>
    <mergeCell ref="A18:I18"/>
    <mergeCell ref="B19:I19"/>
  </mergeCells>
  <pageMargins left="0.7" right="0.7" top="0.75" bottom="0.75" header="0.3" footer="0.3"/>
  <pageSetup orientation="portrait" horizontalDpi="4294967292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/>
  <dimension ref="A1:O12"/>
  <sheetViews>
    <sheetView topLeftCell="A4" workbookViewId="0">
      <selection activeCell="D6" sqref="D6"/>
    </sheetView>
  </sheetViews>
  <sheetFormatPr defaultColWidth="9.140625" defaultRowHeight="12.75"/>
  <cols>
    <col min="1" max="1" width="5.85546875" style="30" bestFit="1" customWidth="1"/>
    <col min="2" max="2" width="12.5703125" style="30" customWidth="1"/>
    <col min="3" max="3" width="17.42578125" style="30" bestFit="1" customWidth="1"/>
    <col min="4" max="4" width="46.28515625" style="30" customWidth="1"/>
    <col min="5" max="6" width="5" style="30" bestFit="1" customWidth="1"/>
    <col min="7" max="7" width="6.28515625" style="30" bestFit="1" customWidth="1"/>
    <col min="8" max="8" width="12.85546875" style="30" bestFit="1" customWidth="1"/>
    <col min="9" max="9" width="18.28515625" style="30" bestFit="1" customWidth="1"/>
    <col min="10" max="10" width="9.140625" style="30"/>
    <col min="11" max="11" width="10.28515625" style="31" bestFit="1" customWidth="1"/>
    <col min="12" max="16384" width="9.140625" style="30"/>
  </cols>
  <sheetData>
    <row r="1" spans="1:15" ht="25.5">
      <c r="A1" s="37" t="s">
        <v>0</v>
      </c>
      <c r="B1" s="37" t="s">
        <v>268</v>
      </c>
      <c r="C1" s="38" t="s">
        <v>82</v>
      </c>
      <c r="D1" s="38" t="s">
        <v>67</v>
      </c>
      <c r="E1" s="38" t="s">
        <v>25</v>
      </c>
      <c r="F1" s="38" t="s">
        <v>3</v>
      </c>
      <c r="G1" s="38" t="s">
        <v>68</v>
      </c>
      <c r="H1" s="39" t="s">
        <v>69</v>
      </c>
      <c r="I1" s="39" t="s">
        <v>70</v>
      </c>
      <c r="K1" s="40" t="s">
        <v>145</v>
      </c>
      <c r="L1" s="30" t="s">
        <v>214</v>
      </c>
      <c r="M1" s="30" t="s">
        <v>73</v>
      </c>
      <c r="O1" s="30" t="s">
        <v>74</v>
      </c>
    </row>
    <row r="2" spans="1:15" ht="76.5">
      <c r="A2" s="41">
        <v>1</v>
      </c>
      <c r="B2" s="48">
        <v>3000081256</v>
      </c>
      <c r="C2" s="48" t="s">
        <v>256</v>
      </c>
      <c r="D2" s="86" t="s">
        <v>262</v>
      </c>
      <c r="E2" s="51"/>
      <c r="F2" s="43" t="s">
        <v>75</v>
      </c>
      <c r="G2" s="41">
        <v>1</v>
      </c>
      <c r="H2" s="83">
        <f t="shared" ref="H2:H7" si="0">J2*80*1.3</f>
        <v>0</v>
      </c>
      <c r="I2" s="45">
        <f t="shared" ref="I2:I7" si="1">H2*G2</f>
        <v>0</v>
      </c>
      <c r="K2" s="44"/>
    </row>
    <row r="3" spans="1:15" ht="63.75">
      <c r="A3" s="41">
        <v>2</v>
      </c>
      <c r="B3" s="48">
        <v>3000081256</v>
      </c>
      <c r="C3" s="48" t="s">
        <v>257</v>
      </c>
      <c r="D3" s="86" t="s">
        <v>263</v>
      </c>
      <c r="E3" s="51"/>
      <c r="F3" s="43" t="s">
        <v>75</v>
      </c>
      <c r="G3" s="41">
        <v>1</v>
      </c>
      <c r="H3" s="83">
        <f t="shared" si="0"/>
        <v>0</v>
      </c>
      <c r="I3" s="45">
        <f t="shared" si="1"/>
        <v>0</v>
      </c>
      <c r="K3" s="44"/>
    </row>
    <row r="4" spans="1:15" ht="76.5">
      <c r="A4" s="41">
        <v>3</v>
      </c>
      <c r="B4" s="48">
        <v>3000081256</v>
      </c>
      <c r="C4" s="48" t="s">
        <v>258</v>
      </c>
      <c r="D4" s="86" t="s">
        <v>264</v>
      </c>
      <c r="E4" s="51"/>
      <c r="F4" s="43" t="s">
        <v>75</v>
      </c>
      <c r="G4" s="41">
        <v>1</v>
      </c>
      <c r="H4" s="83">
        <f t="shared" si="0"/>
        <v>0</v>
      </c>
      <c r="I4" s="45">
        <f t="shared" si="1"/>
        <v>0</v>
      </c>
      <c r="K4" s="44"/>
    </row>
    <row r="5" spans="1:15" ht="63.75">
      <c r="A5" s="41">
        <v>4</v>
      </c>
      <c r="B5" s="48">
        <v>3000081256</v>
      </c>
      <c r="C5" s="48" t="s">
        <v>259</v>
      </c>
      <c r="D5" s="86" t="s">
        <v>265</v>
      </c>
      <c r="E5" s="51"/>
      <c r="F5" s="43" t="s">
        <v>75</v>
      </c>
      <c r="G5" s="41">
        <v>1</v>
      </c>
      <c r="H5" s="83">
        <f t="shared" si="0"/>
        <v>0</v>
      </c>
      <c r="I5" s="45">
        <f t="shared" si="1"/>
        <v>0</v>
      </c>
      <c r="K5" s="44"/>
    </row>
    <row r="6" spans="1:15" ht="63.75">
      <c r="A6" s="41">
        <v>5</v>
      </c>
      <c r="B6" s="48">
        <v>3000081256</v>
      </c>
      <c r="C6" s="48" t="s">
        <v>260</v>
      </c>
      <c r="D6" s="86" t="s">
        <v>266</v>
      </c>
      <c r="E6" s="51"/>
      <c r="F6" s="43" t="s">
        <v>75</v>
      </c>
      <c r="G6" s="41">
        <v>1</v>
      </c>
      <c r="H6" s="83">
        <f t="shared" si="0"/>
        <v>0</v>
      </c>
      <c r="I6" s="45">
        <f t="shared" si="1"/>
        <v>0</v>
      </c>
      <c r="K6" s="44"/>
    </row>
    <row r="7" spans="1:15" ht="63.75">
      <c r="A7" s="41">
        <v>6</v>
      </c>
      <c r="B7" s="48">
        <v>3000081256</v>
      </c>
      <c r="C7" s="48" t="s">
        <v>261</v>
      </c>
      <c r="D7" s="86" t="s">
        <v>267</v>
      </c>
      <c r="E7" s="51"/>
      <c r="F7" s="43" t="s">
        <v>75</v>
      </c>
      <c r="G7" s="41">
        <v>1</v>
      </c>
      <c r="H7" s="83">
        <f t="shared" si="0"/>
        <v>0</v>
      </c>
      <c r="I7" s="45">
        <f t="shared" si="1"/>
        <v>0</v>
      </c>
      <c r="K7" s="44"/>
    </row>
    <row r="8" spans="1:15">
      <c r="A8" s="41">
        <v>7</v>
      </c>
      <c r="B8" s="386" t="s">
        <v>76</v>
      </c>
      <c r="C8" s="386"/>
      <c r="D8" s="386"/>
      <c r="E8" s="386"/>
      <c r="F8" s="386"/>
      <c r="G8" s="386"/>
      <c r="H8" s="386"/>
      <c r="I8" s="46">
        <f>SUM(I2:I7)</f>
        <v>0</v>
      </c>
    </row>
    <row r="9" spans="1:15">
      <c r="A9" s="41">
        <v>8</v>
      </c>
      <c r="B9" s="386" t="s">
        <v>158</v>
      </c>
      <c r="C9" s="386"/>
      <c r="D9" s="386"/>
      <c r="E9" s="386"/>
      <c r="F9" s="386"/>
      <c r="G9" s="386"/>
      <c r="H9" s="386"/>
      <c r="I9" s="46">
        <f>I8*18%</f>
        <v>0</v>
      </c>
    </row>
    <row r="10" spans="1:15">
      <c r="A10" s="41">
        <v>9</v>
      </c>
      <c r="B10" s="386" t="s">
        <v>79</v>
      </c>
      <c r="C10" s="386"/>
      <c r="D10" s="386"/>
      <c r="E10" s="386"/>
      <c r="F10" s="386"/>
      <c r="G10" s="386"/>
      <c r="H10" s="386"/>
      <c r="I10" s="46">
        <f>SUM(I8:I9)</f>
        <v>0</v>
      </c>
    </row>
    <row r="11" spans="1:15">
      <c r="A11" s="378"/>
      <c r="B11" s="379"/>
      <c r="C11" s="379"/>
      <c r="D11" s="379"/>
      <c r="E11" s="379"/>
      <c r="F11" s="379"/>
      <c r="G11" s="379"/>
      <c r="H11" s="379"/>
      <c r="I11" s="380"/>
    </row>
    <row r="12" spans="1:15" ht="153" customHeight="1">
      <c r="A12" s="47" t="s">
        <v>80</v>
      </c>
      <c r="B12" s="381" t="s">
        <v>200</v>
      </c>
      <c r="C12" s="381"/>
      <c r="D12" s="381"/>
      <c r="E12" s="381"/>
      <c r="F12" s="381"/>
      <c r="G12" s="381"/>
      <c r="H12" s="381"/>
      <c r="I12" s="382"/>
    </row>
  </sheetData>
  <mergeCells count="5">
    <mergeCell ref="B8:H8"/>
    <mergeCell ref="B9:H9"/>
    <mergeCell ref="B10:H10"/>
    <mergeCell ref="A11:I11"/>
    <mergeCell ref="B12:I12"/>
  </mergeCells>
  <pageMargins left="0.7" right="0.7" top="0.75" bottom="0.75" header="0.3" footer="0.3"/>
  <pageSetup orientation="portrait" horizontalDpi="4294967292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/>
  <dimension ref="A1:O7"/>
  <sheetViews>
    <sheetView workbookViewId="0">
      <selection sqref="A1:I7"/>
    </sheetView>
  </sheetViews>
  <sheetFormatPr defaultColWidth="9.140625" defaultRowHeight="12.75"/>
  <cols>
    <col min="1" max="1" width="5.85546875" style="30" bestFit="1" customWidth="1"/>
    <col min="2" max="2" width="12.5703125" style="30" customWidth="1"/>
    <col min="3" max="3" width="17.42578125" style="30" bestFit="1" customWidth="1"/>
    <col min="4" max="4" width="46.28515625" style="30" customWidth="1"/>
    <col min="5" max="6" width="5" style="30" bestFit="1" customWidth="1"/>
    <col min="7" max="7" width="6.28515625" style="30" bestFit="1" customWidth="1"/>
    <col min="8" max="8" width="12.85546875" style="30" bestFit="1" customWidth="1"/>
    <col min="9" max="9" width="18.28515625" style="30" bestFit="1" customWidth="1"/>
    <col min="10" max="10" width="9.140625" style="30"/>
    <col min="11" max="11" width="10.28515625" style="31" bestFit="1" customWidth="1"/>
    <col min="12" max="16384" width="9.140625" style="30"/>
  </cols>
  <sheetData>
    <row r="1" spans="1:15" ht="25.5">
      <c r="A1" s="37" t="s">
        <v>0</v>
      </c>
      <c r="B1" s="37" t="s">
        <v>268</v>
      </c>
      <c r="C1" s="38" t="s">
        <v>82</v>
      </c>
      <c r="D1" s="38" t="s">
        <v>67</v>
      </c>
      <c r="E1" s="38" t="s">
        <v>25</v>
      </c>
      <c r="F1" s="38" t="s">
        <v>3</v>
      </c>
      <c r="G1" s="38" t="s">
        <v>68</v>
      </c>
      <c r="H1" s="39" t="s">
        <v>69</v>
      </c>
      <c r="I1" s="39" t="s">
        <v>70</v>
      </c>
      <c r="K1" s="40" t="s">
        <v>145</v>
      </c>
      <c r="L1" s="30" t="s">
        <v>214</v>
      </c>
      <c r="M1" s="30" t="s">
        <v>73</v>
      </c>
      <c r="O1" s="30" t="s">
        <v>74</v>
      </c>
    </row>
    <row r="2" spans="1:15" ht="76.5">
      <c r="A2" s="41">
        <v>1</v>
      </c>
      <c r="B2" s="48">
        <v>3000078564</v>
      </c>
      <c r="C2" s="48" t="s">
        <v>269</v>
      </c>
      <c r="D2" s="86" t="s">
        <v>271</v>
      </c>
      <c r="E2" s="51">
        <v>9031</v>
      </c>
      <c r="F2" s="43" t="s">
        <v>75</v>
      </c>
      <c r="G2" s="41">
        <v>1</v>
      </c>
      <c r="H2" s="83">
        <f>J2*77*1.3</f>
        <v>870870</v>
      </c>
      <c r="I2" s="45">
        <f>H2*G2</f>
        <v>870870</v>
      </c>
      <c r="J2" s="30">
        <v>8700</v>
      </c>
      <c r="K2" s="44">
        <v>8688</v>
      </c>
    </row>
    <row r="3" spans="1:15">
      <c r="A3" s="41">
        <v>2</v>
      </c>
      <c r="B3" s="386" t="s">
        <v>76</v>
      </c>
      <c r="C3" s="386"/>
      <c r="D3" s="386"/>
      <c r="E3" s="386"/>
      <c r="F3" s="386"/>
      <c r="G3" s="386"/>
      <c r="H3" s="386"/>
      <c r="I3" s="46">
        <f>SUM(I2:I2)</f>
        <v>870870</v>
      </c>
    </row>
    <row r="4" spans="1:15">
      <c r="A4" s="41">
        <v>3</v>
      </c>
      <c r="B4" s="386" t="s">
        <v>158</v>
      </c>
      <c r="C4" s="386"/>
      <c r="D4" s="386"/>
      <c r="E4" s="386"/>
      <c r="F4" s="386"/>
      <c r="G4" s="386"/>
      <c r="H4" s="386"/>
      <c r="I4" s="46">
        <f>I3*18%</f>
        <v>156756.6</v>
      </c>
    </row>
    <row r="5" spans="1:15">
      <c r="A5" s="41">
        <v>4</v>
      </c>
      <c r="B5" s="386" t="s">
        <v>79</v>
      </c>
      <c r="C5" s="386"/>
      <c r="D5" s="386"/>
      <c r="E5" s="386"/>
      <c r="F5" s="386"/>
      <c r="G5" s="386"/>
      <c r="H5" s="386"/>
      <c r="I5" s="46">
        <f>SUM(I3:I4)</f>
        <v>1027626.6</v>
      </c>
    </row>
    <row r="6" spans="1:15">
      <c r="A6" s="378"/>
      <c r="B6" s="379"/>
      <c r="C6" s="379"/>
      <c r="D6" s="379"/>
      <c r="E6" s="379"/>
      <c r="F6" s="379"/>
      <c r="G6" s="379"/>
      <c r="H6" s="379"/>
      <c r="I6" s="380"/>
    </row>
    <row r="7" spans="1:15" ht="153" customHeight="1">
      <c r="A7" s="47" t="s">
        <v>80</v>
      </c>
      <c r="B7" s="381" t="s">
        <v>270</v>
      </c>
      <c r="C7" s="381"/>
      <c r="D7" s="381"/>
      <c r="E7" s="381"/>
      <c r="F7" s="381"/>
      <c r="G7" s="381"/>
      <c r="H7" s="381"/>
      <c r="I7" s="382"/>
    </row>
  </sheetData>
  <mergeCells count="5">
    <mergeCell ref="B3:H3"/>
    <mergeCell ref="B4:H4"/>
    <mergeCell ref="B5:H5"/>
    <mergeCell ref="A6:I6"/>
    <mergeCell ref="B7:I7"/>
  </mergeCells>
  <pageMargins left="0.7" right="0.7" top="0.75" bottom="0.75" header="0.3" footer="0.3"/>
  <pageSetup orientation="portrait" horizontalDpi="4294967292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/>
  <dimension ref="A1:O8"/>
  <sheetViews>
    <sheetView workbookViewId="0">
      <selection activeCell="M2" sqref="M2"/>
    </sheetView>
  </sheetViews>
  <sheetFormatPr defaultColWidth="9.140625" defaultRowHeight="12.75"/>
  <cols>
    <col min="1" max="1" width="5.85546875" style="30" bestFit="1" customWidth="1"/>
    <col min="2" max="2" width="12.5703125" style="30" customWidth="1"/>
    <col min="3" max="3" width="17.42578125" style="30" bestFit="1" customWidth="1"/>
    <col min="4" max="4" width="46.28515625" style="30" customWidth="1"/>
    <col min="5" max="6" width="5" style="30" bestFit="1" customWidth="1"/>
    <col min="7" max="7" width="6.28515625" style="30" bestFit="1" customWidth="1"/>
    <col min="8" max="8" width="12.85546875" style="30" bestFit="1" customWidth="1"/>
    <col min="9" max="9" width="18.28515625" style="30" bestFit="1" customWidth="1"/>
    <col min="10" max="10" width="9.28515625" style="30" bestFit="1" customWidth="1"/>
    <col min="11" max="11" width="10.28515625" style="31" bestFit="1" customWidth="1"/>
    <col min="12" max="16384" width="9.140625" style="30"/>
  </cols>
  <sheetData>
    <row r="1" spans="1:15" ht="25.5">
      <c r="A1" s="37" t="s">
        <v>0</v>
      </c>
      <c r="B1" s="37" t="s">
        <v>268</v>
      </c>
      <c r="C1" s="38" t="s">
        <v>82</v>
      </c>
      <c r="D1" s="38" t="s">
        <v>67</v>
      </c>
      <c r="E1" s="38" t="s">
        <v>25</v>
      </c>
      <c r="F1" s="38" t="s">
        <v>3</v>
      </c>
      <c r="G1" s="38" t="s">
        <v>68</v>
      </c>
      <c r="H1" s="39" t="s">
        <v>69</v>
      </c>
      <c r="I1" s="39" t="s">
        <v>70</v>
      </c>
      <c r="K1" s="40" t="s">
        <v>145</v>
      </c>
      <c r="L1" s="30" t="s">
        <v>23</v>
      </c>
      <c r="M1" s="30" t="s">
        <v>73</v>
      </c>
      <c r="O1" s="30" t="s">
        <v>74</v>
      </c>
    </row>
    <row r="2" spans="1:15" ht="127.5">
      <c r="A2" s="41">
        <v>1</v>
      </c>
      <c r="B2" s="41">
        <v>3000074520</v>
      </c>
      <c r="C2" s="41" t="s">
        <v>272</v>
      </c>
      <c r="D2" s="86" t="s">
        <v>274</v>
      </c>
      <c r="E2" s="51">
        <v>8501</v>
      </c>
      <c r="F2" s="43" t="s">
        <v>75</v>
      </c>
      <c r="G2" s="41">
        <v>2</v>
      </c>
      <c r="H2" s="83">
        <f>J2*77*1.3</f>
        <v>62062</v>
      </c>
      <c r="I2" s="45">
        <f>H2*G2</f>
        <v>124124</v>
      </c>
      <c r="J2" s="82">
        <f>MIN(K2:L2)+50</f>
        <v>620</v>
      </c>
      <c r="K2" s="44"/>
      <c r="L2" s="30">
        <v>570</v>
      </c>
    </row>
    <row r="3" spans="1:15" ht="127.5">
      <c r="A3" s="41">
        <v>2</v>
      </c>
      <c r="B3" s="41">
        <v>3000074520</v>
      </c>
      <c r="C3" s="41" t="s">
        <v>273</v>
      </c>
      <c r="D3" s="86" t="s">
        <v>275</v>
      </c>
      <c r="E3" s="51">
        <v>8501</v>
      </c>
      <c r="F3" s="43" t="s">
        <v>75</v>
      </c>
      <c r="G3" s="41">
        <v>1</v>
      </c>
      <c r="H3" s="83">
        <f>J3*77*1.3</f>
        <v>159159</v>
      </c>
      <c r="I3" s="45">
        <f>H3*G3</f>
        <v>159159</v>
      </c>
      <c r="J3" s="82">
        <f>MIN(K3:L3)+50</f>
        <v>1590</v>
      </c>
      <c r="K3" s="44"/>
      <c r="L3" s="30">
        <v>1540</v>
      </c>
    </row>
    <row r="4" spans="1:15">
      <c r="A4" s="41">
        <v>3</v>
      </c>
      <c r="B4" s="386" t="s">
        <v>76</v>
      </c>
      <c r="C4" s="386"/>
      <c r="D4" s="386"/>
      <c r="E4" s="386"/>
      <c r="F4" s="386"/>
      <c r="G4" s="386"/>
      <c r="H4" s="386"/>
      <c r="I4" s="46">
        <f>SUM(I2:I3)</f>
        <v>283283</v>
      </c>
    </row>
    <row r="5" spans="1:15">
      <c r="A5" s="41">
        <v>4</v>
      </c>
      <c r="B5" s="386" t="s">
        <v>158</v>
      </c>
      <c r="C5" s="386"/>
      <c r="D5" s="386"/>
      <c r="E5" s="386"/>
      <c r="F5" s="386"/>
      <c r="G5" s="386"/>
      <c r="H5" s="386"/>
      <c r="I5" s="46">
        <f>I4*18%</f>
        <v>50990.939999999995</v>
      </c>
    </row>
    <row r="6" spans="1:15">
      <c r="A6" s="41">
        <v>5</v>
      </c>
      <c r="B6" s="386" t="s">
        <v>79</v>
      </c>
      <c r="C6" s="386"/>
      <c r="D6" s="386"/>
      <c r="E6" s="386"/>
      <c r="F6" s="386"/>
      <c r="G6" s="386"/>
      <c r="H6" s="386"/>
      <c r="I6" s="46">
        <f>SUM(I4:I5)</f>
        <v>334273.94</v>
      </c>
    </row>
    <row r="7" spans="1:15">
      <c r="A7" s="378"/>
      <c r="B7" s="379"/>
      <c r="C7" s="379"/>
      <c r="D7" s="379"/>
      <c r="E7" s="379"/>
      <c r="F7" s="379"/>
      <c r="G7" s="379"/>
      <c r="H7" s="379"/>
      <c r="I7" s="380"/>
    </row>
    <row r="8" spans="1:15" ht="153" customHeight="1">
      <c r="A8" s="47" t="s">
        <v>80</v>
      </c>
      <c r="B8" s="381" t="s">
        <v>270</v>
      </c>
      <c r="C8" s="381"/>
      <c r="D8" s="381"/>
      <c r="E8" s="381"/>
      <c r="F8" s="381"/>
      <c r="G8" s="381"/>
      <c r="H8" s="381"/>
      <c r="I8" s="382"/>
    </row>
  </sheetData>
  <mergeCells count="5">
    <mergeCell ref="B4:H4"/>
    <mergeCell ref="B5:H5"/>
    <mergeCell ref="B6:H6"/>
    <mergeCell ref="A7:I7"/>
    <mergeCell ref="B8:I8"/>
  </mergeCells>
  <pageMargins left="0.7" right="0.7" top="0.75" bottom="0.75" header="0.3" footer="0.3"/>
  <pageSetup orientation="portrait" horizontalDpi="4294967292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/>
  <dimension ref="A1:O7"/>
  <sheetViews>
    <sheetView workbookViewId="0">
      <selection activeCell="D2" sqref="D2"/>
    </sheetView>
  </sheetViews>
  <sheetFormatPr defaultColWidth="9.140625" defaultRowHeight="12.75"/>
  <cols>
    <col min="1" max="1" width="5.85546875" style="30" bestFit="1" customWidth="1"/>
    <col min="2" max="2" width="12.5703125" style="30" customWidth="1"/>
    <col min="3" max="3" width="17.42578125" style="30" bestFit="1" customWidth="1"/>
    <col min="4" max="4" width="46.28515625" style="30" customWidth="1"/>
    <col min="5" max="6" width="5" style="30" bestFit="1" customWidth="1"/>
    <col min="7" max="7" width="6.28515625" style="30" bestFit="1" customWidth="1"/>
    <col min="8" max="8" width="12.85546875" style="30" bestFit="1" customWidth="1"/>
    <col min="9" max="9" width="18.28515625" style="30" bestFit="1" customWidth="1"/>
    <col min="10" max="10" width="9.28515625" style="30" bestFit="1" customWidth="1"/>
    <col min="11" max="11" width="10.28515625" style="31" bestFit="1" customWidth="1"/>
    <col min="12" max="16384" width="9.140625" style="30"/>
  </cols>
  <sheetData>
    <row r="1" spans="1:15" ht="25.5">
      <c r="A1" s="37" t="s">
        <v>0</v>
      </c>
      <c r="B1" s="37" t="s">
        <v>268</v>
      </c>
      <c r="C1" s="38" t="s">
        <v>82</v>
      </c>
      <c r="D1" s="38" t="s">
        <v>67</v>
      </c>
      <c r="E1" s="38" t="s">
        <v>25</v>
      </c>
      <c r="F1" s="38" t="s">
        <v>3</v>
      </c>
      <c r="G1" s="38" t="s">
        <v>68</v>
      </c>
      <c r="H1" s="39" t="s">
        <v>69</v>
      </c>
      <c r="I1" s="39" t="s">
        <v>70</v>
      </c>
      <c r="K1" s="40" t="s">
        <v>145</v>
      </c>
      <c r="L1" s="30" t="s">
        <v>23</v>
      </c>
      <c r="M1" s="30" t="s">
        <v>73</v>
      </c>
      <c r="O1" s="30" t="s">
        <v>74</v>
      </c>
    </row>
    <row r="2" spans="1:15" ht="38.25">
      <c r="A2" s="41">
        <v>1</v>
      </c>
      <c r="B2" s="41">
        <v>3000079853</v>
      </c>
      <c r="C2" s="41" t="s">
        <v>276</v>
      </c>
      <c r="D2" s="86" t="s">
        <v>277</v>
      </c>
      <c r="E2" s="51">
        <v>8501</v>
      </c>
      <c r="F2" s="43" t="s">
        <v>75</v>
      </c>
      <c r="G2" s="41">
        <v>1</v>
      </c>
      <c r="H2" s="83">
        <v>498000</v>
      </c>
      <c r="I2" s="45">
        <f>H2*G2</f>
        <v>498000</v>
      </c>
      <c r="J2" s="82"/>
      <c r="K2" s="44"/>
    </row>
    <row r="3" spans="1:15">
      <c r="A3" s="41">
        <v>2</v>
      </c>
      <c r="B3" s="386" t="s">
        <v>76</v>
      </c>
      <c r="C3" s="386"/>
      <c r="D3" s="386"/>
      <c r="E3" s="386"/>
      <c r="F3" s="386"/>
      <c r="G3" s="386"/>
      <c r="H3" s="386"/>
      <c r="I3" s="46">
        <f>SUM(I2:I2)</f>
        <v>498000</v>
      </c>
    </row>
    <row r="4" spans="1:15">
      <c r="A4" s="41">
        <v>3</v>
      </c>
      <c r="B4" s="386" t="s">
        <v>158</v>
      </c>
      <c r="C4" s="386"/>
      <c r="D4" s="386"/>
      <c r="E4" s="386"/>
      <c r="F4" s="386"/>
      <c r="G4" s="386"/>
      <c r="H4" s="386"/>
      <c r="I4" s="46">
        <f>I3*18%</f>
        <v>89640</v>
      </c>
    </row>
    <row r="5" spans="1:15">
      <c r="A5" s="41">
        <v>4</v>
      </c>
      <c r="B5" s="386" t="s">
        <v>79</v>
      </c>
      <c r="C5" s="386"/>
      <c r="D5" s="386"/>
      <c r="E5" s="386"/>
      <c r="F5" s="386"/>
      <c r="G5" s="386"/>
      <c r="H5" s="386"/>
      <c r="I5" s="46">
        <f>SUM(I3:I4)</f>
        <v>587640</v>
      </c>
    </row>
    <row r="6" spans="1:15">
      <c r="A6" s="378"/>
      <c r="B6" s="379"/>
      <c r="C6" s="379"/>
      <c r="D6" s="379"/>
      <c r="E6" s="379"/>
      <c r="F6" s="379"/>
      <c r="G6" s="379"/>
      <c r="H6" s="379"/>
      <c r="I6" s="380"/>
    </row>
    <row r="7" spans="1:15" ht="153" customHeight="1">
      <c r="A7" s="47" t="s">
        <v>80</v>
      </c>
      <c r="B7" s="381" t="s">
        <v>270</v>
      </c>
      <c r="C7" s="381"/>
      <c r="D7" s="381"/>
      <c r="E7" s="381"/>
      <c r="F7" s="381"/>
      <c r="G7" s="381"/>
      <c r="H7" s="381"/>
      <c r="I7" s="382"/>
    </row>
  </sheetData>
  <mergeCells count="5">
    <mergeCell ref="B3:H3"/>
    <mergeCell ref="B4:H4"/>
    <mergeCell ref="B5:H5"/>
    <mergeCell ref="A6:I6"/>
    <mergeCell ref="B7:I7"/>
  </mergeCells>
  <pageMargins left="0.7" right="0.7" top="0.75" bottom="0.75" header="0.3" footer="0.3"/>
  <pageSetup orientation="portrait" horizontalDpi="4294967292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/>
  <dimension ref="A1:O8"/>
  <sheetViews>
    <sheetView workbookViewId="0">
      <selection sqref="A1:G3"/>
    </sheetView>
  </sheetViews>
  <sheetFormatPr defaultColWidth="9.140625" defaultRowHeight="12.75"/>
  <cols>
    <col min="1" max="1" width="5.85546875" style="30" bestFit="1" customWidth="1"/>
    <col min="2" max="2" width="12.5703125" style="30" customWidth="1"/>
    <col min="3" max="3" width="17.42578125" style="30" bestFit="1" customWidth="1"/>
    <col min="4" max="4" width="46.28515625" style="30" customWidth="1"/>
    <col min="5" max="6" width="5" style="30" bestFit="1" customWidth="1"/>
    <col min="7" max="7" width="6.28515625" style="30" bestFit="1" customWidth="1"/>
    <col min="8" max="8" width="12.85546875" style="30" bestFit="1" customWidth="1"/>
    <col min="9" max="9" width="18.28515625" style="30" bestFit="1" customWidth="1"/>
    <col min="10" max="10" width="9.28515625" style="30" bestFit="1" customWidth="1"/>
    <col min="11" max="11" width="10.28515625" style="31" bestFit="1" customWidth="1"/>
    <col min="12" max="16384" width="9.140625" style="30"/>
  </cols>
  <sheetData>
    <row r="1" spans="1:15" ht="25.5">
      <c r="A1" s="37" t="s">
        <v>0</v>
      </c>
      <c r="B1" s="37" t="s">
        <v>268</v>
      </c>
      <c r="C1" s="38" t="s">
        <v>82</v>
      </c>
      <c r="D1" s="38" t="s">
        <v>67</v>
      </c>
      <c r="E1" s="38" t="s">
        <v>25</v>
      </c>
      <c r="F1" s="38" t="s">
        <v>3</v>
      </c>
      <c r="G1" s="38" t="s">
        <v>68</v>
      </c>
      <c r="H1" s="39" t="s">
        <v>69</v>
      </c>
      <c r="I1" s="39" t="s">
        <v>70</v>
      </c>
      <c r="K1" s="40" t="s">
        <v>145</v>
      </c>
      <c r="L1" s="30" t="s">
        <v>23</v>
      </c>
      <c r="M1" s="30" t="s">
        <v>73</v>
      </c>
      <c r="O1" s="30" t="s">
        <v>74</v>
      </c>
    </row>
    <row r="2" spans="1:15" ht="89.25">
      <c r="A2" s="41">
        <v>1</v>
      </c>
      <c r="B2" s="41">
        <v>3000076778</v>
      </c>
      <c r="C2" s="41" t="s">
        <v>280</v>
      </c>
      <c r="D2" s="86" t="s">
        <v>282</v>
      </c>
      <c r="E2" s="51">
        <v>8501</v>
      </c>
      <c r="F2" s="43" t="s">
        <v>75</v>
      </c>
      <c r="G2" s="41">
        <v>1</v>
      </c>
      <c r="H2" s="83"/>
      <c r="I2" s="45">
        <f>H2*G2</f>
        <v>0</v>
      </c>
      <c r="J2" s="82"/>
      <c r="K2" s="44"/>
    </row>
    <row r="3" spans="1:15" ht="89.25">
      <c r="A3" s="41">
        <v>2</v>
      </c>
      <c r="B3" s="41">
        <v>3000076778</v>
      </c>
      <c r="C3" s="41" t="s">
        <v>281</v>
      </c>
      <c r="D3" s="86" t="s">
        <v>283</v>
      </c>
      <c r="E3" s="51">
        <v>8501</v>
      </c>
      <c r="F3" s="43" t="s">
        <v>75</v>
      </c>
      <c r="G3" s="41">
        <v>1</v>
      </c>
      <c r="H3" s="83"/>
      <c r="I3" s="45">
        <f>H3*G3</f>
        <v>0</v>
      </c>
      <c r="J3" s="82"/>
      <c r="K3" s="44"/>
    </row>
    <row r="4" spans="1:15">
      <c r="A4" s="41">
        <v>3</v>
      </c>
      <c r="B4" s="386" t="s">
        <v>76</v>
      </c>
      <c r="C4" s="386"/>
      <c r="D4" s="386"/>
      <c r="E4" s="386"/>
      <c r="F4" s="386"/>
      <c r="G4" s="386"/>
      <c r="H4" s="386"/>
      <c r="I4" s="46">
        <f>SUM(I2:I3)</f>
        <v>0</v>
      </c>
    </row>
    <row r="5" spans="1:15">
      <c r="A5" s="41">
        <v>4</v>
      </c>
      <c r="B5" s="386" t="s">
        <v>158</v>
      </c>
      <c r="C5" s="386"/>
      <c r="D5" s="386"/>
      <c r="E5" s="386"/>
      <c r="F5" s="386"/>
      <c r="G5" s="386"/>
      <c r="H5" s="386"/>
      <c r="I5" s="46">
        <f>I4*18%</f>
        <v>0</v>
      </c>
    </row>
    <row r="6" spans="1:15">
      <c r="A6" s="41">
        <v>5</v>
      </c>
      <c r="B6" s="386" t="s">
        <v>79</v>
      </c>
      <c r="C6" s="386"/>
      <c r="D6" s="386"/>
      <c r="E6" s="386"/>
      <c r="F6" s="386"/>
      <c r="G6" s="386"/>
      <c r="H6" s="386"/>
      <c r="I6" s="46">
        <f>SUM(I4:I5)</f>
        <v>0</v>
      </c>
    </row>
    <row r="7" spans="1:15">
      <c r="A7" s="378"/>
      <c r="B7" s="379"/>
      <c r="C7" s="379"/>
      <c r="D7" s="379"/>
      <c r="E7" s="379"/>
      <c r="F7" s="379"/>
      <c r="G7" s="379"/>
      <c r="H7" s="379"/>
      <c r="I7" s="380"/>
    </row>
    <row r="8" spans="1:15" ht="153" customHeight="1">
      <c r="A8" s="47" t="s">
        <v>80</v>
      </c>
      <c r="B8" s="381" t="s">
        <v>270</v>
      </c>
      <c r="C8" s="381"/>
      <c r="D8" s="381"/>
      <c r="E8" s="381"/>
      <c r="F8" s="381"/>
      <c r="G8" s="381"/>
      <c r="H8" s="381"/>
      <c r="I8" s="382"/>
    </row>
  </sheetData>
  <mergeCells count="5">
    <mergeCell ref="B4:H4"/>
    <mergeCell ref="B5:H5"/>
    <mergeCell ref="B6:H6"/>
    <mergeCell ref="A7:I7"/>
    <mergeCell ref="B8:I8"/>
  </mergeCells>
  <pageMargins left="0.7" right="0.7" top="0.75" bottom="0.75" header="0.3" footer="0.3"/>
  <pageSetup orientation="portrait" horizontalDpi="4294967292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/>
  <dimension ref="A1:O9"/>
  <sheetViews>
    <sheetView topLeftCell="A3" workbookViewId="0">
      <selection activeCell="B9" sqref="B9:I9"/>
    </sheetView>
  </sheetViews>
  <sheetFormatPr defaultColWidth="9.140625" defaultRowHeight="12.75"/>
  <cols>
    <col min="1" max="1" width="5.85546875" style="30" bestFit="1" customWidth="1"/>
    <col min="2" max="2" width="12.5703125" style="30" customWidth="1"/>
    <col min="3" max="3" width="17.42578125" style="30" bestFit="1" customWidth="1"/>
    <col min="4" max="4" width="46.28515625" style="30" customWidth="1"/>
    <col min="5" max="6" width="5" style="30" bestFit="1" customWidth="1"/>
    <col min="7" max="7" width="6.28515625" style="30" bestFit="1" customWidth="1"/>
    <col min="8" max="8" width="12.85546875" style="30" bestFit="1" customWidth="1"/>
    <col min="9" max="9" width="18.28515625" style="30" bestFit="1" customWidth="1"/>
    <col min="10" max="10" width="9.28515625" style="30" bestFit="1" customWidth="1"/>
    <col min="11" max="11" width="10.28515625" style="31" bestFit="1" customWidth="1"/>
    <col min="12" max="16384" width="9.140625" style="30"/>
  </cols>
  <sheetData>
    <row r="1" spans="1:15" ht="25.5">
      <c r="A1" s="37" t="s">
        <v>0</v>
      </c>
      <c r="B1" s="37" t="s">
        <v>268</v>
      </c>
      <c r="C1" s="38" t="s">
        <v>82</v>
      </c>
      <c r="D1" s="38" t="s">
        <v>67</v>
      </c>
      <c r="E1" s="38" t="s">
        <v>25</v>
      </c>
      <c r="F1" s="38" t="s">
        <v>3</v>
      </c>
      <c r="G1" s="38" t="s">
        <v>68</v>
      </c>
      <c r="H1" s="39" t="s">
        <v>69</v>
      </c>
      <c r="I1" s="39" t="s">
        <v>70</v>
      </c>
      <c r="K1" s="40" t="s">
        <v>145</v>
      </c>
      <c r="L1" s="30" t="s">
        <v>23</v>
      </c>
      <c r="M1" s="30" t="s">
        <v>73</v>
      </c>
      <c r="O1" s="30" t="s">
        <v>74</v>
      </c>
    </row>
    <row r="2" spans="1:15" ht="102">
      <c r="A2" s="41">
        <v>1</v>
      </c>
      <c r="B2" s="41">
        <v>3000075170</v>
      </c>
      <c r="C2" s="41" t="s">
        <v>284</v>
      </c>
      <c r="D2" s="86" t="s">
        <v>287</v>
      </c>
      <c r="E2" s="51">
        <v>8501</v>
      </c>
      <c r="F2" s="43" t="s">
        <v>75</v>
      </c>
      <c r="G2" s="41">
        <v>1</v>
      </c>
      <c r="H2" s="83"/>
      <c r="I2" s="45">
        <f>H2*G2</f>
        <v>0</v>
      </c>
      <c r="J2" s="82"/>
      <c r="K2" s="44"/>
    </row>
    <row r="3" spans="1:15" ht="127.5">
      <c r="A3" s="41">
        <v>2</v>
      </c>
      <c r="B3" s="41">
        <v>3000075170</v>
      </c>
      <c r="C3" s="41" t="s">
        <v>285</v>
      </c>
      <c r="D3" s="86" t="s">
        <v>288</v>
      </c>
      <c r="E3" s="51">
        <v>8501</v>
      </c>
      <c r="F3" s="43" t="s">
        <v>75</v>
      </c>
      <c r="G3" s="41">
        <v>1</v>
      </c>
      <c r="H3" s="83"/>
      <c r="I3" s="45">
        <f>H3*G3</f>
        <v>0</v>
      </c>
      <c r="J3" s="82"/>
      <c r="K3" s="44"/>
    </row>
    <row r="4" spans="1:15" ht="140.25">
      <c r="A4" s="41">
        <v>3</v>
      </c>
      <c r="B4" s="41">
        <v>3000075170</v>
      </c>
      <c r="C4" s="41" t="s">
        <v>286</v>
      </c>
      <c r="D4" s="86" t="s">
        <v>289</v>
      </c>
      <c r="E4" s="51">
        <v>8501</v>
      </c>
      <c r="F4" s="43" t="s">
        <v>75</v>
      </c>
      <c r="G4" s="41">
        <v>1</v>
      </c>
      <c r="H4" s="83"/>
      <c r="I4" s="45">
        <f>H4*G4</f>
        <v>0</v>
      </c>
      <c r="J4" s="82"/>
      <c r="K4" s="44"/>
    </row>
    <row r="5" spans="1:15">
      <c r="A5" s="41">
        <v>4</v>
      </c>
      <c r="B5" s="386" t="s">
        <v>76</v>
      </c>
      <c r="C5" s="386"/>
      <c r="D5" s="386"/>
      <c r="E5" s="386"/>
      <c r="F5" s="386"/>
      <c r="G5" s="386"/>
      <c r="H5" s="386"/>
      <c r="I5" s="46">
        <f>SUM(I2:I4)</f>
        <v>0</v>
      </c>
    </row>
    <row r="6" spans="1:15">
      <c r="A6" s="41">
        <v>5</v>
      </c>
      <c r="B6" s="386" t="s">
        <v>158</v>
      </c>
      <c r="C6" s="386"/>
      <c r="D6" s="386"/>
      <c r="E6" s="386"/>
      <c r="F6" s="386"/>
      <c r="G6" s="386"/>
      <c r="H6" s="386"/>
      <c r="I6" s="46">
        <f>I5*18%</f>
        <v>0</v>
      </c>
    </row>
    <row r="7" spans="1:15">
      <c r="A7" s="41">
        <v>6</v>
      </c>
      <c r="B7" s="386" t="s">
        <v>79</v>
      </c>
      <c r="C7" s="386"/>
      <c r="D7" s="386"/>
      <c r="E7" s="386"/>
      <c r="F7" s="386"/>
      <c r="G7" s="386"/>
      <c r="H7" s="386"/>
      <c r="I7" s="46">
        <f>SUM(I5:I6)</f>
        <v>0</v>
      </c>
    </row>
    <row r="8" spans="1:15">
      <c r="A8" s="378"/>
      <c r="B8" s="379"/>
      <c r="C8" s="379"/>
      <c r="D8" s="379"/>
      <c r="E8" s="379"/>
      <c r="F8" s="379"/>
      <c r="G8" s="379"/>
      <c r="H8" s="379"/>
      <c r="I8" s="380"/>
    </row>
    <row r="9" spans="1:15" ht="153" customHeight="1">
      <c r="A9" s="47" t="s">
        <v>80</v>
      </c>
      <c r="B9" s="381" t="s">
        <v>270</v>
      </c>
      <c r="C9" s="381"/>
      <c r="D9" s="381"/>
      <c r="E9" s="381"/>
      <c r="F9" s="381"/>
      <c r="G9" s="381"/>
      <c r="H9" s="381"/>
      <c r="I9" s="382"/>
    </row>
  </sheetData>
  <mergeCells count="5">
    <mergeCell ref="B5:H5"/>
    <mergeCell ref="B6:H6"/>
    <mergeCell ref="B7:H7"/>
    <mergeCell ref="A8:I8"/>
    <mergeCell ref="B9:I9"/>
  </mergeCells>
  <pageMargins left="0.7" right="0.7" top="0.75" bottom="0.75" header="0.3" footer="0.3"/>
  <pageSetup orientation="portrait" horizontalDpi="4294967292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/>
  <dimension ref="A1:O17"/>
  <sheetViews>
    <sheetView topLeftCell="A2" workbookViewId="0">
      <selection activeCell="D6" sqref="D6"/>
    </sheetView>
  </sheetViews>
  <sheetFormatPr defaultColWidth="9.140625" defaultRowHeight="12.75"/>
  <cols>
    <col min="1" max="1" width="5.85546875" style="30" bestFit="1" customWidth="1"/>
    <col min="2" max="2" width="12.5703125" style="30" customWidth="1"/>
    <col min="3" max="3" width="17.42578125" style="30" bestFit="1" customWidth="1"/>
    <col min="4" max="4" width="46.28515625" style="30" customWidth="1"/>
    <col min="5" max="6" width="5" style="30" bestFit="1" customWidth="1"/>
    <col min="7" max="7" width="6.28515625" style="30" bestFit="1" customWidth="1"/>
    <col min="8" max="8" width="13.42578125" style="95" bestFit="1" customWidth="1"/>
    <col min="9" max="9" width="17" style="95" customWidth="1"/>
    <col min="10" max="10" width="9.28515625" style="30" bestFit="1" customWidth="1"/>
    <col min="11" max="11" width="10.28515625" style="31" bestFit="1" customWidth="1"/>
    <col min="12" max="16384" width="9.140625" style="30"/>
  </cols>
  <sheetData>
    <row r="1" spans="1:15" ht="25.5">
      <c r="A1" s="37" t="s">
        <v>0</v>
      </c>
      <c r="B1" s="37" t="s">
        <v>1</v>
      </c>
      <c r="C1" s="37" t="s">
        <v>299</v>
      </c>
      <c r="D1" s="38" t="s">
        <v>67</v>
      </c>
      <c r="E1" s="38" t="s">
        <v>25</v>
      </c>
      <c r="F1" s="38" t="s">
        <v>3</v>
      </c>
      <c r="G1" s="38" t="s">
        <v>68</v>
      </c>
      <c r="H1" s="91" t="s">
        <v>69</v>
      </c>
      <c r="I1" s="91" t="s">
        <v>70</v>
      </c>
      <c r="K1" s="40" t="s">
        <v>145</v>
      </c>
      <c r="L1" s="30" t="s">
        <v>119</v>
      </c>
      <c r="M1" s="30" t="s">
        <v>73</v>
      </c>
      <c r="O1" s="30" t="s">
        <v>74</v>
      </c>
    </row>
    <row r="2" spans="1:15" ht="63.75">
      <c r="A2" s="41">
        <v>1</v>
      </c>
      <c r="B2" s="90" t="s">
        <v>198</v>
      </c>
      <c r="C2" s="90" t="s">
        <v>300</v>
      </c>
      <c r="D2" s="87" t="s">
        <v>290</v>
      </c>
      <c r="E2" s="51">
        <v>8536</v>
      </c>
      <c r="F2" s="43" t="s">
        <v>75</v>
      </c>
      <c r="G2" s="41">
        <v>4</v>
      </c>
      <c r="H2" s="92">
        <f>L2*77*1.3</f>
        <v>55055</v>
      </c>
      <c r="I2" s="93">
        <f t="shared" ref="I2:I12" si="0">H2*G2</f>
        <v>220220</v>
      </c>
      <c r="J2" s="82"/>
      <c r="K2" s="44"/>
      <c r="L2" s="30">
        <v>550</v>
      </c>
    </row>
    <row r="3" spans="1:15" ht="63.75">
      <c r="A3" s="41">
        <v>2</v>
      </c>
      <c r="B3" s="90" t="s">
        <v>198</v>
      </c>
      <c r="C3" s="90" t="s">
        <v>301</v>
      </c>
      <c r="D3" s="87" t="s">
        <v>291</v>
      </c>
      <c r="E3" s="51">
        <v>8536</v>
      </c>
      <c r="F3" s="43" t="s">
        <v>75</v>
      </c>
      <c r="G3" s="41">
        <v>2</v>
      </c>
      <c r="H3" s="92">
        <f t="shared" ref="H3:H12" si="1">L3*77*1.3</f>
        <v>55055</v>
      </c>
      <c r="I3" s="93">
        <f t="shared" si="0"/>
        <v>110110</v>
      </c>
      <c r="J3" s="82"/>
      <c r="K3" s="44"/>
      <c r="L3" s="30">
        <v>550</v>
      </c>
    </row>
    <row r="4" spans="1:15" ht="63.75">
      <c r="A4" s="41">
        <v>3</v>
      </c>
      <c r="B4" s="90" t="s">
        <v>198</v>
      </c>
      <c r="C4" s="90" t="s">
        <v>302</v>
      </c>
      <c r="D4" s="87" t="s">
        <v>292</v>
      </c>
      <c r="E4" s="51">
        <v>8536</v>
      </c>
      <c r="F4" s="43" t="s">
        <v>75</v>
      </c>
      <c r="G4" s="41">
        <v>6</v>
      </c>
      <c r="H4" s="92">
        <f t="shared" si="1"/>
        <v>55055</v>
      </c>
      <c r="I4" s="93">
        <f t="shared" si="0"/>
        <v>330330</v>
      </c>
      <c r="J4" s="82"/>
      <c r="K4" s="44"/>
      <c r="L4" s="30">
        <v>550</v>
      </c>
    </row>
    <row r="5" spans="1:15" ht="63.75">
      <c r="A5" s="41">
        <v>4</v>
      </c>
      <c r="B5" s="90" t="s">
        <v>198</v>
      </c>
      <c r="C5" s="90" t="s">
        <v>300</v>
      </c>
      <c r="D5" s="87" t="s">
        <v>293</v>
      </c>
      <c r="E5" s="51">
        <v>8536</v>
      </c>
      <c r="F5" s="43" t="s">
        <v>75</v>
      </c>
      <c r="G5" s="41">
        <v>2</v>
      </c>
      <c r="H5" s="92">
        <f t="shared" si="1"/>
        <v>55055</v>
      </c>
      <c r="I5" s="93">
        <f t="shared" si="0"/>
        <v>110110</v>
      </c>
      <c r="J5" s="82"/>
      <c r="K5" s="44"/>
      <c r="L5" s="30">
        <v>550</v>
      </c>
    </row>
    <row r="6" spans="1:15" ht="63.75">
      <c r="A6" s="41">
        <v>5</v>
      </c>
      <c r="B6" s="90" t="s">
        <v>198</v>
      </c>
      <c r="C6" s="90" t="s">
        <v>302</v>
      </c>
      <c r="D6" s="87" t="s">
        <v>294</v>
      </c>
      <c r="E6" s="51">
        <v>8536</v>
      </c>
      <c r="F6" s="43" t="s">
        <v>75</v>
      </c>
      <c r="G6" s="41">
        <v>8</v>
      </c>
      <c r="H6" s="92">
        <f t="shared" si="1"/>
        <v>55055</v>
      </c>
      <c r="I6" s="93">
        <f t="shared" si="0"/>
        <v>440440</v>
      </c>
      <c r="J6" s="82"/>
      <c r="K6" s="44"/>
      <c r="L6" s="30">
        <v>550</v>
      </c>
    </row>
    <row r="7" spans="1:15" ht="63.75">
      <c r="A7" s="41">
        <v>6</v>
      </c>
      <c r="B7" s="90" t="s">
        <v>198</v>
      </c>
      <c r="C7" s="90" t="s">
        <v>302</v>
      </c>
      <c r="D7" s="87" t="s">
        <v>295</v>
      </c>
      <c r="E7" s="51">
        <v>8536</v>
      </c>
      <c r="F7" s="43" t="s">
        <v>75</v>
      </c>
      <c r="G7" s="41">
        <v>4</v>
      </c>
      <c r="H7" s="92">
        <f t="shared" si="1"/>
        <v>55055</v>
      </c>
      <c r="I7" s="93">
        <f t="shared" si="0"/>
        <v>220220</v>
      </c>
      <c r="J7" s="82"/>
      <c r="K7" s="44"/>
      <c r="L7" s="30">
        <v>550</v>
      </c>
    </row>
    <row r="8" spans="1:15" ht="63.75">
      <c r="A8" s="41">
        <v>7</v>
      </c>
      <c r="B8" s="90" t="s">
        <v>198</v>
      </c>
      <c r="C8" s="90" t="s">
        <v>300</v>
      </c>
      <c r="D8" s="88" t="s">
        <v>296</v>
      </c>
      <c r="E8" s="51">
        <v>8536</v>
      </c>
      <c r="F8" s="43" t="s">
        <v>75</v>
      </c>
      <c r="G8" s="41">
        <v>14</v>
      </c>
      <c r="H8" s="92">
        <f t="shared" si="1"/>
        <v>49049</v>
      </c>
      <c r="I8" s="93">
        <f t="shared" si="0"/>
        <v>686686</v>
      </c>
      <c r="J8" s="82"/>
      <c r="K8" s="44"/>
      <c r="L8" s="30">
        <v>490</v>
      </c>
    </row>
    <row r="9" spans="1:15" ht="63.75">
      <c r="A9" s="41">
        <v>8</v>
      </c>
      <c r="B9" s="90" t="s">
        <v>198</v>
      </c>
      <c r="C9" s="90" t="s">
        <v>300</v>
      </c>
      <c r="D9" s="88" t="s">
        <v>314</v>
      </c>
      <c r="E9" s="51">
        <v>8536</v>
      </c>
      <c r="F9" s="43" t="s">
        <v>75</v>
      </c>
      <c r="G9" s="41">
        <v>6</v>
      </c>
      <c r="H9" s="92">
        <f t="shared" si="1"/>
        <v>49049</v>
      </c>
      <c r="I9" s="93">
        <f t="shared" si="0"/>
        <v>294294</v>
      </c>
      <c r="J9" s="82"/>
      <c r="K9" s="44"/>
      <c r="L9" s="30">
        <v>490</v>
      </c>
    </row>
    <row r="10" spans="1:15" ht="63.75">
      <c r="A10" s="41">
        <v>9</v>
      </c>
      <c r="B10" s="90" t="s">
        <v>198</v>
      </c>
      <c r="C10" s="90" t="s">
        <v>300</v>
      </c>
      <c r="D10" s="88" t="s">
        <v>297</v>
      </c>
      <c r="E10" s="51">
        <v>8536</v>
      </c>
      <c r="F10" s="43" t="s">
        <v>75</v>
      </c>
      <c r="G10" s="41">
        <v>6</v>
      </c>
      <c r="H10" s="92">
        <f t="shared" si="1"/>
        <v>49049</v>
      </c>
      <c r="I10" s="93">
        <f t="shared" si="0"/>
        <v>294294</v>
      </c>
      <c r="J10" s="82"/>
      <c r="K10" s="44"/>
      <c r="L10" s="30">
        <v>490</v>
      </c>
    </row>
    <row r="11" spans="1:15" ht="63.75">
      <c r="A11" s="41">
        <v>10</v>
      </c>
      <c r="B11" s="90" t="s">
        <v>198</v>
      </c>
      <c r="C11" s="90" t="s">
        <v>298</v>
      </c>
      <c r="D11" s="89" t="s">
        <v>313</v>
      </c>
      <c r="E11" s="51">
        <v>8536</v>
      </c>
      <c r="F11" s="43" t="s">
        <v>75</v>
      </c>
      <c r="G11" s="41">
        <v>25</v>
      </c>
      <c r="H11" s="92">
        <f t="shared" si="1"/>
        <v>7507.5</v>
      </c>
      <c r="I11" s="93">
        <f t="shared" si="0"/>
        <v>187687.5</v>
      </c>
      <c r="J11" s="82"/>
      <c r="K11" s="44"/>
      <c r="L11" s="30">
        <v>75</v>
      </c>
    </row>
    <row r="12" spans="1:15" ht="38.25">
      <c r="A12" s="41">
        <v>11</v>
      </c>
      <c r="B12" s="90" t="s">
        <v>198</v>
      </c>
      <c r="C12" s="41"/>
      <c r="D12" s="89" t="s">
        <v>312</v>
      </c>
      <c r="E12" s="51">
        <v>8536</v>
      </c>
      <c r="F12" s="43" t="s">
        <v>75</v>
      </c>
      <c r="G12" s="41">
        <v>2</v>
      </c>
      <c r="H12" s="92">
        <f t="shared" si="1"/>
        <v>112112</v>
      </c>
      <c r="I12" s="93">
        <f t="shared" si="0"/>
        <v>224224</v>
      </c>
      <c r="J12" s="82"/>
      <c r="K12" s="44"/>
      <c r="L12" s="30">
        <v>1120</v>
      </c>
    </row>
    <row r="13" spans="1:15">
      <c r="A13" s="41">
        <v>12</v>
      </c>
      <c r="B13" s="386" t="s">
        <v>76</v>
      </c>
      <c r="C13" s="386"/>
      <c r="D13" s="386"/>
      <c r="E13" s="386"/>
      <c r="F13" s="386"/>
      <c r="G13" s="386"/>
      <c r="H13" s="386"/>
      <c r="I13" s="94">
        <f>SUM(I2:I12)</f>
        <v>3118615.5</v>
      </c>
    </row>
    <row r="14" spans="1:15">
      <c r="A14" s="41">
        <v>13</v>
      </c>
      <c r="B14" s="386" t="s">
        <v>158</v>
      </c>
      <c r="C14" s="386"/>
      <c r="D14" s="386"/>
      <c r="E14" s="386"/>
      <c r="F14" s="386"/>
      <c r="G14" s="386"/>
      <c r="H14" s="386"/>
      <c r="I14" s="94">
        <f>I13*18%</f>
        <v>561350.79</v>
      </c>
    </row>
    <row r="15" spans="1:15">
      <c r="A15" s="41">
        <v>14</v>
      </c>
      <c r="B15" s="386" t="s">
        <v>79</v>
      </c>
      <c r="C15" s="386"/>
      <c r="D15" s="386"/>
      <c r="E15" s="386"/>
      <c r="F15" s="386"/>
      <c r="G15" s="386"/>
      <c r="H15" s="386"/>
      <c r="I15" s="94">
        <f>SUM(I13:I14)</f>
        <v>3679966.29</v>
      </c>
    </row>
    <row r="16" spans="1:15">
      <c r="A16" s="378"/>
      <c r="B16" s="379"/>
      <c r="C16" s="379"/>
      <c r="D16" s="379"/>
      <c r="E16" s="379"/>
      <c r="F16" s="379"/>
      <c r="G16" s="379"/>
      <c r="H16" s="379"/>
      <c r="I16" s="380"/>
    </row>
    <row r="17" spans="1:9" ht="153" customHeight="1">
      <c r="A17" s="47" t="s">
        <v>80</v>
      </c>
      <c r="B17" s="381" t="s">
        <v>270</v>
      </c>
      <c r="C17" s="381"/>
      <c r="D17" s="381"/>
      <c r="E17" s="381"/>
      <c r="F17" s="381"/>
      <c r="G17" s="381"/>
      <c r="H17" s="381"/>
      <c r="I17" s="382"/>
    </row>
  </sheetData>
  <mergeCells count="5">
    <mergeCell ref="B13:H13"/>
    <mergeCell ref="B14:H14"/>
    <mergeCell ref="B15:H15"/>
    <mergeCell ref="A16:I16"/>
    <mergeCell ref="B17:I17"/>
  </mergeCells>
  <pageMargins left="0.7" right="0.7" top="0.75" bottom="0.75" header="0.3" footer="0.3"/>
  <pageSetup orientation="portrait" horizontalDpi="4294967292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/>
  <dimension ref="A1:O11"/>
  <sheetViews>
    <sheetView topLeftCell="A4" workbookViewId="0">
      <selection activeCell="D5" sqref="D5"/>
    </sheetView>
  </sheetViews>
  <sheetFormatPr defaultColWidth="9.140625" defaultRowHeight="12.75"/>
  <cols>
    <col min="1" max="1" width="5.85546875" style="30" bestFit="1" customWidth="1"/>
    <col min="2" max="2" width="12.5703125" style="30" customWidth="1"/>
    <col min="3" max="3" width="17.42578125" style="30" bestFit="1" customWidth="1"/>
    <col min="4" max="4" width="46.28515625" style="30" customWidth="1"/>
    <col min="5" max="6" width="5" style="30" bestFit="1" customWidth="1"/>
    <col min="7" max="7" width="6.28515625" style="30" bestFit="1" customWidth="1"/>
    <col min="8" max="8" width="13.42578125" style="95" bestFit="1" customWidth="1"/>
    <col min="9" max="9" width="17" style="95" customWidth="1"/>
    <col min="10" max="10" width="9.28515625" style="30" bestFit="1" customWidth="1"/>
    <col min="11" max="11" width="10.28515625" style="31" bestFit="1" customWidth="1"/>
    <col min="12" max="16384" width="9.140625" style="30"/>
  </cols>
  <sheetData>
    <row r="1" spans="1:15" ht="25.5">
      <c r="A1" s="37" t="s">
        <v>0</v>
      </c>
      <c r="B1" s="37" t="s">
        <v>36</v>
      </c>
      <c r="C1" s="37" t="s">
        <v>1</v>
      </c>
      <c r="D1" s="38" t="s">
        <v>67</v>
      </c>
      <c r="E1" s="38" t="s">
        <v>25</v>
      </c>
      <c r="F1" s="38" t="s">
        <v>3</v>
      </c>
      <c r="G1" s="38" t="s">
        <v>68</v>
      </c>
      <c r="H1" s="91" t="s">
        <v>69</v>
      </c>
      <c r="I1" s="91" t="s">
        <v>70</v>
      </c>
      <c r="K1" s="40" t="s">
        <v>145</v>
      </c>
      <c r="L1" s="30" t="s">
        <v>117</v>
      </c>
      <c r="M1" s="30" t="s">
        <v>316</v>
      </c>
      <c r="O1" s="30" t="s">
        <v>74</v>
      </c>
    </row>
    <row r="2" spans="1:15" ht="89.25">
      <c r="A2" s="41">
        <v>1</v>
      </c>
      <c r="B2" s="90">
        <v>3000076185</v>
      </c>
      <c r="C2" s="90" t="s">
        <v>303</v>
      </c>
      <c r="D2" s="96" t="s">
        <v>304</v>
      </c>
      <c r="E2" s="51">
        <v>8414</v>
      </c>
      <c r="F2" s="43" t="s">
        <v>75</v>
      </c>
      <c r="G2" s="41">
        <v>10</v>
      </c>
      <c r="H2" s="97">
        <v>2150</v>
      </c>
      <c r="I2" s="93">
        <f>H2*G2</f>
        <v>21500</v>
      </c>
      <c r="J2" s="82"/>
      <c r="K2" s="44"/>
      <c r="L2" s="30">
        <v>9</v>
      </c>
    </row>
    <row r="3" spans="1:15" ht="76.5">
      <c r="A3" s="41">
        <v>2</v>
      </c>
      <c r="B3" s="90">
        <v>3000078834</v>
      </c>
      <c r="C3" s="90" t="s">
        <v>305</v>
      </c>
      <c r="D3" s="96" t="s">
        <v>306</v>
      </c>
      <c r="E3" s="51">
        <v>8414</v>
      </c>
      <c r="F3" s="43" t="s">
        <v>75</v>
      </c>
      <c r="G3" s="41">
        <v>20</v>
      </c>
      <c r="H3" s="92">
        <f>J3*77*1.3</f>
        <v>1201.2</v>
      </c>
      <c r="I3" s="93">
        <f>H3*G3</f>
        <v>24024</v>
      </c>
      <c r="J3" s="82">
        <v>12</v>
      </c>
      <c r="K3" s="44">
        <v>15</v>
      </c>
      <c r="L3" s="30">
        <v>9</v>
      </c>
    </row>
    <row r="4" spans="1:15" ht="76.5">
      <c r="A4" s="41">
        <v>3</v>
      </c>
      <c r="B4" s="90">
        <v>3000076987</v>
      </c>
      <c r="C4" s="90" t="s">
        <v>307</v>
      </c>
      <c r="D4" s="96" t="s">
        <v>308</v>
      </c>
      <c r="E4" s="51">
        <v>8414</v>
      </c>
      <c r="F4" s="43" t="s">
        <v>75</v>
      </c>
      <c r="G4" s="41">
        <v>30</v>
      </c>
      <c r="H4" s="92">
        <f>J4*77*1.3</f>
        <v>9009</v>
      </c>
      <c r="I4" s="93">
        <f>H4*G4</f>
        <v>270270</v>
      </c>
      <c r="J4" s="82">
        <v>90</v>
      </c>
      <c r="K4" s="44"/>
      <c r="L4" s="30">
        <v>80</v>
      </c>
      <c r="M4" s="30">
        <f>320/6</f>
        <v>53.333333333333336</v>
      </c>
    </row>
    <row r="5" spans="1:15" ht="76.5">
      <c r="A5" s="41">
        <v>4</v>
      </c>
      <c r="B5" s="90">
        <v>3000080318</v>
      </c>
      <c r="C5" s="90" t="s">
        <v>309</v>
      </c>
      <c r="D5" s="96" t="s">
        <v>308</v>
      </c>
      <c r="E5" s="51">
        <v>8414</v>
      </c>
      <c r="F5" s="43" t="s">
        <v>75</v>
      </c>
      <c r="G5" s="41">
        <v>3</v>
      </c>
      <c r="H5" s="92">
        <f>J5*77*1.3</f>
        <v>55655.6</v>
      </c>
      <c r="I5" s="93">
        <f>H5*G5</f>
        <v>166966.79999999999</v>
      </c>
      <c r="J5" s="82">
        <v>556</v>
      </c>
      <c r="K5" s="44"/>
      <c r="M5" s="30">
        <f>2736/6</f>
        <v>456</v>
      </c>
    </row>
    <row r="6" spans="1:15" ht="38.25">
      <c r="A6" s="41">
        <v>5</v>
      </c>
      <c r="B6" s="90">
        <v>3000080261</v>
      </c>
      <c r="C6" s="90" t="s">
        <v>310</v>
      </c>
      <c r="D6" s="96" t="s">
        <v>311</v>
      </c>
      <c r="E6" s="51">
        <v>8414</v>
      </c>
      <c r="F6" s="43" t="s">
        <v>75</v>
      </c>
      <c r="G6" s="41">
        <v>5</v>
      </c>
      <c r="H6" s="92">
        <f>J6*77*1.3</f>
        <v>1401.4</v>
      </c>
      <c r="I6" s="93">
        <f>H6*G6</f>
        <v>7007</v>
      </c>
      <c r="J6" s="82">
        <v>14</v>
      </c>
      <c r="K6" s="44">
        <v>9.5</v>
      </c>
    </row>
    <row r="7" spans="1:15">
      <c r="A7" s="41">
        <v>6</v>
      </c>
      <c r="B7" s="386" t="s">
        <v>76</v>
      </c>
      <c r="C7" s="386"/>
      <c r="D7" s="386"/>
      <c r="E7" s="386"/>
      <c r="F7" s="386"/>
      <c r="G7" s="386"/>
      <c r="H7" s="386"/>
      <c r="I7" s="94">
        <f>SUM(I2:I6)</f>
        <v>489767.8</v>
      </c>
    </row>
    <row r="8" spans="1:15">
      <c r="A8" s="41">
        <v>7</v>
      </c>
      <c r="B8" s="386" t="s">
        <v>158</v>
      </c>
      <c r="C8" s="386"/>
      <c r="D8" s="386"/>
      <c r="E8" s="386"/>
      <c r="F8" s="386"/>
      <c r="G8" s="386"/>
      <c r="H8" s="386"/>
      <c r="I8" s="94">
        <f>I7*18%</f>
        <v>88158.203999999998</v>
      </c>
    </row>
    <row r="9" spans="1:15">
      <c r="A9" s="41">
        <v>8</v>
      </c>
      <c r="B9" s="386" t="s">
        <v>79</v>
      </c>
      <c r="C9" s="386"/>
      <c r="D9" s="386"/>
      <c r="E9" s="386"/>
      <c r="F9" s="386"/>
      <c r="G9" s="386"/>
      <c r="H9" s="386"/>
      <c r="I9" s="94">
        <f>SUM(I7:I8)</f>
        <v>577926.00399999996</v>
      </c>
    </row>
    <row r="10" spans="1:15">
      <c r="A10" s="378"/>
      <c r="B10" s="379"/>
      <c r="C10" s="379"/>
      <c r="D10" s="379"/>
      <c r="E10" s="379"/>
      <c r="F10" s="379"/>
      <c r="G10" s="379"/>
      <c r="H10" s="379"/>
      <c r="I10" s="380"/>
    </row>
    <row r="11" spans="1:15" ht="153" customHeight="1">
      <c r="A11" s="47" t="s">
        <v>80</v>
      </c>
      <c r="B11" s="381" t="s">
        <v>270</v>
      </c>
      <c r="C11" s="381"/>
      <c r="D11" s="381"/>
      <c r="E11" s="381"/>
      <c r="F11" s="381"/>
      <c r="G11" s="381"/>
      <c r="H11" s="381"/>
      <c r="I11" s="382"/>
    </row>
  </sheetData>
  <mergeCells count="5">
    <mergeCell ref="B7:H7"/>
    <mergeCell ref="B8:H8"/>
    <mergeCell ref="B9:H9"/>
    <mergeCell ref="A10:I10"/>
    <mergeCell ref="B11:I11"/>
  </mergeCells>
  <pageMargins left="0.7" right="0.7" top="0.75" bottom="0.75" header="0.3" footer="0.3"/>
  <pageSetup orientation="portrait" horizontalDpi="4294967292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8"/>
  <dimension ref="A1:O7"/>
  <sheetViews>
    <sheetView workbookViewId="0">
      <selection activeCell="D2" sqref="D2"/>
    </sheetView>
  </sheetViews>
  <sheetFormatPr defaultColWidth="9.140625" defaultRowHeight="12.75"/>
  <cols>
    <col min="1" max="1" width="5.85546875" style="30" bestFit="1" customWidth="1"/>
    <col min="2" max="2" width="12.5703125" style="30" customWidth="1"/>
    <col min="3" max="3" width="17.42578125" style="30" bestFit="1" customWidth="1"/>
    <col min="4" max="4" width="46.28515625" style="30" customWidth="1"/>
    <col min="5" max="6" width="5" style="30" bestFit="1" customWidth="1"/>
    <col min="7" max="7" width="6.28515625" style="30" bestFit="1" customWidth="1"/>
    <col min="8" max="8" width="13.42578125" style="95" bestFit="1" customWidth="1"/>
    <col min="9" max="9" width="17" style="95" customWidth="1"/>
    <col min="10" max="10" width="9.28515625" style="30" bestFit="1" customWidth="1"/>
    <col min="11" max="11" width="10.28515625" style="31" bestFit="1" customWidth="1"/>
    <col min="12" max="16384" width="9.140625" style="30"/>
  </cols>
  <sheetData>
    <row r="1" spans="1:15" ht="25.5">
      <c r="A1" s="19" t="s">
        <v>0</v>
      </c>
      <c r="B1" s="19" t="s">
        <v>36</v>
      </c>
      <c r="C1" s="19" t="s">
        <v>1</v>
      </c>
      <c r="D1" s="117" t="s">
        <v>67</v>
      </c>
      <c r="E1" s="117" t="s">
        <v>25</v>
      </c>
      <c r="F1" s="117" t="s">
        <v>3</v>
      </c>
      <c r="G1" s="117" t="s">
        <v>68</v>
      </c>
      <c r="H1" s="118" t="s">
        <v>69</v>
      </c>
      <c r="I1" s="118" t="s">
        <v>70</v>
      </c>
      <c r="K1" s="40" t="s">
        <v>145</v>
      </c>
      <c r="L1" s="30" t="s">
        <v>316</v>
      </c>
      <c r="M1" s="30" t="s">
        <v>73</v>
      </c>
      <c r="O1" s="30" t="s">
        <v>74</v>
      </c>
    </row>
    <row r="2" spans="1:15" ht="114.75">
      <c r="A2" s="23">
        <v>1</v>
      </c>
      <c r="B2" s="10">
        <v>3000081388</v>
      </c>
      <c r="C2" s="10" t="s">
        <v>315</v>
      </c>
      <c r="D2" s="121" t="s">
        <v>492</v>
      </c>
      <c r="E2" s="141">
        <v>8536</v>
      </c>
      <c r="F2" s="21" t="s">
        <v>75</v>
      </c>
      <c r="G2" s="23">
        <v>16</v>
      </c>
      <c r="H2" s="130">
        <f>J2*80*1.3</f>
        <v>4680</v>
      </c>
      <c r="I2" s="123">
        <f>H2*G2</f>
        <v>74880</v>
      </c>
      <c r="J2" s="82">
        <v>45</v>
      </c>
      <c r="K2" s="44">
        <v>40</v>
      </c>
      <c r="L2" s="30">
        <f>16*(76+50)/(6*16)</f>
        <v>21</v>
      </c>
    </row>
    <row r="3" spans="1:15">
      <c r="A3" s="23">
        <v>2</v>
      </c>
      <c r="B3" s="397" t="s">
        <v>76</v>
      </c>
      <c r="C3" s="397"/>
      <c r="D3" s="397"/>
      <c r="E3" s="397"/>
      <c r="F3" s="397"/>
      <c r="G3" s="397"/>
      <c r="H3" s="397"/>
      <c r="I3" s="126">
        <f>SUM(I2:I2)</f>
        <v>74880</v>
      </c>
    </row>
    <row r="4" spans="1:15">
      <c r="A4" s="23">
        <v>3</v>
      </c>
      <c r="B4" s="397" t="s">
        <v>158</v>
      </c>
      <c r="C4" s="397"/>
      <c r="D4" s="397"/>
      <c r="E4" s="397"/>
      <c r="F4" s="397"/>
      <c r="G4" s="397"/>
      <c r="H4" s="397"/>
      <c r="I4" s="126">
        <f>I3*18%</f>
        <v>13478.4</v>
      </c>
    </row>
    <row r="5" spans="1:15">
      <c r="A5" s="23">
        <v>4</v>
      </c>
      <c r="B5" s="397" t="s">
        <v>79</v>
      </c>
      <c r="C5" s="397"/>
      <c r="D5" s="397"/>
      <c r="E5" s="397"/>
      <c r="F5" s="397"/>
      <c r="G5" s="397"/>
      <c r="H5" s="397"/>
      <c r="I5" s="126">
        <f>SUM(I3:I4)</f>
        <v>88358.399999999994</v>
      </c>
    </row>
    <row r="6" spans="1:15">
      <c r="A6" s="398"/>
      <c r="B6" s="399"/>
      <c r="C6" s="399"/>
      <c r="D6" s="399"/>
      <c r="E6" s="399"/>
      <c r="F6" s="399"/>
      <c r="G6" s="399"/>
      <c r="H6" s="399"/>
      <c r="I6" s="400"/>
    </row>
    <row r="7" spans="1:15" ht="153" customHeight="1">
      <c r="A7" s="128" t="s">
        <v>80</v>
      </c>
      <c r="B7" s="360" t="s">
        <v>493</v>
      </c>
      <c r="C7" s="360"/>
      <c r="D7" s="360"/>
      <c r="E7" s="360"/>
      <c r="F7" s="360"/>
      <c r="G7" s="360"/>
      <c r="H7" s="360"/>
      <c r="I7" s="361"/>
    </row>
  </sheetData>
  <mergeCells count="5">
    <mergeCell ref="B3:H3"/>
    <mergeCell ref="B4:H4"/>
    <mergeCell ref="B5:H5"/>
    <mergeCell ref="A6:I6"/>
    <mergeCell ref="B7:I7"/>
  </mergeCells>
  <pageMargins left="0.7" right="0.7" top="0.75" bottom="0.75" header="0.3" footer="0.3"/>
  <pageSetup orientation="portrait" horizontalDpi="4294967292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9"/>
  <dimension ref="A1:O7"/>
  <sheetViews>
    <sheetView workbookViewId="0">
      <selection activeCell="K9" sqref="K9"/>
    </sheetView>
  </sheetViews>
  <sheetFormatPr defaultColWidth="9.140625" defaultRowHeight="12.75"/>
  <cols>
    <col min="1" max="1" width="5.85546875" style="30" bestFit="1" customWidth="1"/>
    <col min="2" max="2" width="12.5703125" style="30" customWidth="1"/>
    <col min="3" max="3" width="17.42578125" style="30" bestFit="1" customWidth="1"/>
    <col min="4" max="4" width="46.28515625" style="30" customWidth="1"/>
    <col min="5" max="6" width="5" style="30" bestFit="1" customWidth="1"/>
    <col min="7" max="7" width="6.28515625" style="30" bestFit="1" customWidth="1"/>
    <col min="8" max="8" width="13.42578125" style="95" bestFit="1" customWidth="1"/>
    <col min="9" max="9" width="17" style="95" customWidth="1"/>
    <col min="10" max="10" width="9.28515625" style="30" bestFit="1" customWidth="1"/>
    <col min="11" max="11" width="10.28515625" style="31" bestFit="1" customWidth="1"/>
    <col min="12" max="16384" width="9.140625" style="30"/>
  </cols>
  <sheetData>
    <row r="1" spans="1:15" ht="25.5">
      <c r="A1" s="37" t="s">
        <v>0</v>
      </c>
      <c r="B1" s="37" t="s">
        <v>36</v>
      </c>
      <c r="C1" s="37" t="s">
        <v>1</v>
      </c>
      <c r="D1" s="38" t="s">
        <v>67</v>
      </c>
      <c r="E1" s="38" t="s">
        <v>25</v>
      </c>
      <c r="F1" s="38" t="s">
        <v>3</v>
      </c>
      <c r="G1" s="38" t="s">
        <v>68</v>
      </c>
      <c r="H1" s="91" t="s">
        <v>69</v>
      </c>
      <c r="I1" s="91" t="s">
        <v>70</v>
      </c>
      <c r="K1" s="40" t="s">
        <v>145</v>
      </c>
      <c r="L1" s="30" t="s">
        <v>316</v>
      </c>
      <c r="M1" s="30" t="s">
        <v>73</v>
      </c>
      <c r="O1" s="30" t="s">
        <v>74</v>
      </c>
    </row>
    <row r="2" spans="1:15" ht="63.75">
      <c r="A2" s="41">
        <v>1</v>
      </c>
      <c r="B2" s="90" t="s">
        <v>198</v>
      </c>
      <c r="C2" s="90" t="s">
        <v>319</v>
      </c>
      <c r="D2" s="96" t="s">
        <v>318</v>
      </c>
      <c r="E2" s="51">
        <v>8536</v>
      </c>
      <c r="F2" s="43" t="s">
        <v>75</v>
      </c>
      <c r="G2" s="41">
        <v>1</v>
      </c>
      <c r="H2" s="97">
        <f>J2*77*1.3</f>
        <v>395395</v>
      </c>
      <c r="I2" s="93">
        <f>H2*G2</f>
        <v>395395</v>
      </c>
      <c r="J2" s="82">
        <v>3950</v>
      </c>
      <c r="K2" s="44">
        <v>3900</v>
      </c>
      <c r="L2" s="30">
        <f>16*(76+50)/(6*16)</f>
        <v>21</v>
      </c>
    </row>
    <row r="3" spans="1:15">
      <c r="A3" s="41">
        <v>2</v>
      </c>
      <c r="B3" s="386" t="s">
        <v>76</v>
      </c>
      <c r="C3" s="386"/>
      <c r="D3" s="386"/>
      <c r="E3" s="386"/>
      <c r="F3" s="386"/>
      <c r="G3" s="386"/>
      <c r="H3" s="386"/>
      <c r="I3" s="94">
        <f>SUM(I2:I2)</f>
        <v>395395</v>
      </c>
    </row>
    <row r="4" spans="1:15">
      <c r="A4" s="41">
        <v>3</v>
      </c>
      <c r="B4" s="386" t="s">
        <v>158</v>
      </c>
      <c r="C4" s="386"/>
      <c r="D4" s="386"/>
      <c r="E4" s="386"/>
      <c r="F4" s="386"/>
      <c r="G4" s="386"/>
      <c r="H4" s="386"/>
      <c r="I4" s="94">
        <f>I3*18%</f>
        <v>71171.099999999991</v>
      </c>
    </row>
    <row r="5" spans="1:15">
      <c r="A5" s="41">
        <v>4</v>
      </c>
      <c r="B5" s="386" t="s">
        <v>79</v>
      </c>
      <c r="C5" s="386"/>
      <c r="D5" s="386"/>
      <c r="E5" s="386"/>
      <c r="F5" s="386"/>
      <c r="G5" s="386"/>
      <c r="H5" s="386"/>
      <c r="I5" s="94">
        <f>SUM(I3:I4)</f>
        <v>466566.1</v>
      </c>
    </row>
    <row r="6" spans="1:15">
      <c r="A6" s="378"/>
      <c r="B6" s="379"/>
      <c r="C6" s="379"/>
      <c r="D6" s="379"/>
      <c r="E6" s="379"/>
      <c r="F6" s="379"/>
      <c r="G6" s="379"/>
      <c r="H6" s="379"/>
      <c r="I6" s="380"/>
    </row>
    <row r="7" spans="1:15" ht="153" customHeight="1">
      <c r="A7" s="47" t="s">
        <v>80</v>
      </c>
      <c r="B7" s="381" t="s">
        <v>270</v>
      </c>
      <c r="C7" s="381"/>
      <c r="D7" s="381"/>
      <c r="E7" s="381"/>
      <c r="F7" s="381"/>
      <c r="G7" s="381"/>
      <c r="H7" s="381"/>
      <c r="I7" s="382"/>
    </row>
  </sheetData>
  <mergeCells count="5">
    <mergeCell ref="B3:H3"/>
    <mergeCell ref="B4:H4"/>
    <mergeCell ref="B5:H5"/>
    <mergeCell ref="A6:I6"/>
    <mergeCell ref="B7:I7"/>
  </mergeCells>
  <pageMargins left="0.7" right="0.7" top="0.75" bottom="0.75" header="0.3" footer="0.3"/>
  <pageSetup orientation="portrait" horizontalDpi="4294967292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0"/>
  <dimension ref="A1:O16"/>
  <sheetViews>
    <sheetView workbookViewId="0">
      <selection activeCell="D2" sqref="D2"/>
    </sheetView>
  </sheetViews>
  <sheetFormatPr defaultColWidth="9.140625" defaultRowHeight="12.75"/>
  <cols>
    <col min="1" max="1" width="5.85546875" style="30" bestFit="1" customWidth="1"/>
    <col min="2" max="2" width="12.5703125" style="30" customWidth="1"/>
    <col min="3" max="3" width="17.5703125" style="30" customWidth="1"/>
    <col min="4" max="4" width="46.28515625" style="30" customWidth="1"/>
    <col min="5" max="6" width="5" style="30" bestFit="1" customWidth="1"/>
    <col min="7" max="7" width="6.28515625" style="30" bestFit="1" customWidth="1"/>
    <col min="8" max="8" width="13.42578125" style="95" bestFit="1" customWidth="1"/>
    <col min="9" max="9" width="17" style="95" customWidth="1"/>
    <col min="10" max="10" width="9.28515625" style="30" bestFit="1" customWidth="1"/>
    <col min="11" max="11" width="10.28515625" style="31" bestFit="1" customWidth="1"/>
    <col min="12" max="12" width="9.140625" style="133"/>
    <col min="13" max="16384" width="9.140625" style="30"/>
  </cols>
  <sheetData>
    <row r="1" spans="1:15" ht="25.5">
      <c r="A1" s="37" t="s">
        <v>0</v>
      </c>
      <c r="B1" s="37" t="s">
        <v>36</v>
      </c>
      <c r="C1" s="37" t="s">
        <v>1</v>
      </c>
      <c r="D1" s="38" t="s">
        <v>67</v>
      </c>
      <c r="E1" s="38" t="s">
        <v>25</v>
      </c>
      <c r="F1" s="38" t="s">
        <v>3</v>
      </c>
      <c r="G1" s="38" t="s">
        <v>68</v>
      </c>
      <c r="H1" s="91" t="s">
        <v>69</v>
      </c>
      <c r="I1" s="91" t="s">
        <v>70</v>
      </c>
      <c r="K1" s="40" t="s">
        <v>145</v>
      </c>
      <c r="L1" s="133" t="s">
        <v>393</v>
      </c>
      <c r="M1" s="30" t="s">
        <v>73</v>
      </c>
      <c r="O1" s="30" t="s">
        <v>74</v>
      </c>
    </row>
    <row r="2" spans="1:15" ht="63.75">
      <c r="A2" s="41">
        <v>1</v>
      </c>
      <c r="B2" s="90">
        <v>3000078143</v>
      </c>
      <c r="C2" s="90" t="s">
        <v>320</v>
      </c>
      <c r="D2" s="96" t="s">
        <v>330</v>
      </c>
      <c r="E2" s="51">
        <v>8504</v>
      </c>
      <c r="F2" s="43" t="s">
        <v>75</v>
      </c>
      <c r="G2" s="41">
        <v>3</v>
      </c>
      <c r="H2" s="97">
        <f>J2*77*1.3</f>
        <v>70070</v>
      </c>
      <c r="I2" s="93">
        <f t="shared" ref="I2:I11" si="0">H2*G2</f>
        <v>210210</v>
      </c>
      <c r="J2" s="82">
        <v>700</v>
      </c>
      <c r="K2" s="44"/>
      <c r="L2" s="133">
        <f>4200/6.5</f>
        <v>646.15384615384619</v>
      </c>
    </row>
    <row r="3" spans="1:15" ht="25.5">
      <c r="A3" s="41">
        <v>2</v>
      </c>
      <c r="B3" s="90">
        <v>3000078143</v>
      </c>
      <c r="C3" s="90" t="s">
        <v>321</v>
      </c>
      <c r="D3" s="96" t="s">
        <v>331</v>
      </c>
      <c r="E3" s="51">
        <v>8504</v>
      </c>
      <c r="F3" s="43" t="s">
        <v>75</v>
      </c>
      <c r="G3" s="41">
        <v>3</v>
      </c>
      <c r="H3" s="97">
        <f>J3*77*1.3</f>
        <v>105105</v>
      </c>
      <c r="I3" s="93">
        <f t="shared" si="0"/>
        <v>315315</v>
      </c>
      <c r="J3" s="82">
        <v>1050</v>
      </c>
      <c r="K3" s="44"/>
      <c r="L3" s="133">
        <f>6490/6.5</f>
        <v>998.46153846153845</v>
      </c>
    </row>
    <row r="4" spans="1:15">
      <c r="A4" s="41">
        <v>3</v>
      </c>
      <c r="B4" s="90">
        <v>3000078143</v>
      </c>
      <c r="C4" s="90" t="s">
        <v>322</v>
      </c>
      <c r="D4" s="96" t="s">
        <v>332</v>
      </c>
      <c r="E4" s="51">
        <v>8504</v>
      </c>
      <c r="F4" s="43" t="s">
        <v>75</v>
      </c>
      <c r="G4" s="41">
        <v>3</v>
      </c>
      <c r="H4" s="97">
        <f>J4*77*1.3</f>
        <v>40040</v>
      </c>
      <c r="I4" s="93">
        <f t="shared" si="0"/>
        <v>120120</v>
      </c>
      <c r="J4" s="82">
        <v>400</v>
      </c>
      <c r="K4" s="44"/>
      <c r="L4" s="133">
        <f>2450/6.5</f>
        <v>376.92307692307691</v>
      </c>
    </row>
    <row r="5" spans="1:15" ht="51">
      <c r="A5" s="41">
        <v>4</v>
      </c>
      <c r="B5" s="90">
        <v>3000078143</v>
      </c>
      <c r="C5" s="90" t="s">
        <v>323</v>
      </c>
      <c r="D5" s="96" t="s">
        <v>333</v>
      </c>
      <c r="E5" s="51">
        <v>8504</v>
      </c>
      <c r="F5" s="43" t="s">
        <v>75</v>
      </c>
      <c r="G5" s="41">
        <v>3</v>
      </c>
      <c r="H5" s="97">
        <f>J5*77*1.3</f>
        <v>65065</v>
      </c>
      <c r="I5" s="93">
        <f t="shared" si="0"/>
        <v>195195</v>
      </c>
      <c r="J5" s="82">
        <v>650</v>
      </c>
      <c r="K5" s="44"/>
      <c r="L5" s="133">
        <f>4050/6.5</f>
        <v>623.07692307692309</v>
      </c>
    </row>
    <row r="6" spans="1:15" ht="76.5">
      <c r="A6" s="41">
        <v>5</v>
      </c>
      <c r="B6" s="90">
        <v>3000078143</v>
      </c>
      <c r="C6" s="90" t="s">
        <v>324</v>
      </c>
      <c r="D6" s="96" t="s">
        <v>334</v>
      </c>
      <c r="E6" s="51">
        <v>8504</v>
      </c>
      <c r="F6" s="43" t="s">
        <v>75</v>
      </c>
      <c r="G6" s="41">
        <v>3</v>
      </c>
      <c r="H6" s="97">
        <f t="shared" ref="H6:H11" si="1">J6*77*1.3</f>
        <v>55055</v>
      </c>
      <c r="I6" s="93">
        <f t="shared" si="0"/>
        <v>165165</v>
      </c>
      <c r="J6" s="82">
        <v>550</v>
      </c>
      <c r="K6" s="44">
        <v>680</v>
      </c>
      <c r="L6" s="133">
        <f>3230/6.5</f>
        <v>496.92307692307691</v>
      </c>
    </row>
    <row r="7" spans="1:15" ht="76.5">
      <c r="A7" s="41">
        <v>6</v>
      </c>
      <c r="B7" s="90">
        <v>3000078143</v>
      </c>
      <c r="C7" s="90" t="s">
        <v>325</v>
      </c>
      <c r="D7" s="96" t="s">
        <v>335</v>
      </c>
      <c r="E7" s="51">
        <v>8504</v>
      </c>
      <c r="F7" s="43" t="s">
        <v>75</v>
      </c>
      <c r="G7" s="41">
        <v>3</v>
      </c>
      <c r="H7" s="97">
        <f t="shared" si="1"/>
        <v>80080</v>
      </c>
      <c r="I7" s="93">
        <f t="shared" si="0"/>
        <v>240240</v>
      </c>
      <c r="J7" s="82">
        <v>800</v>
      </c>
      <c r="K7" s="44">
        <v>1270</v>
      </c>
      <c r="L7" s="133">
        <f>4150/6.5</f>
        <v>638.46153846153845</v>
      </c>
    </row>
    <row r="8" spans="1:15" ht="76.5">
      <c r="A8" s="41">
        <v>7</v>
      </c>
      <c r="B8" s="90">
        <v>3000078143</v>
      </c>
      <c r="C8" s="90" t="s">
        <v>326</v>
      </c>
      <c r="D8" s="96" t="s">
        <v>336</v>
      </c>
      <c r="E8" s="51">
        <v>8504</v>
      </c>
      <c r="F8" s="43" t="s">
        <v>75</v>
      </c>
      <c r="G8" s="41">
        <v>3</v>
      </c>
      <c r="H8" s="97">
        <f t="shared" si="1"/>
        <v>75075</v>
      </c>
      <c r="I8" s="93">
        <f t="shared" si="0"/>
        <v>225225</v>
      </c>
      <c r="J8" s="82">
        <v>750</v>
      </c>
      <c r="K8" s="44">
        <v>730</v>
      </c>
      <c r="L8" s="133">
        <f>4590/6.5</f>
        <v>706.15384615384619</v>
      </c>
    </row>
    <row r="9" spans="1:15" ht="76.5">
      <c r="A9" s="41">
        <v>8</v>
      </c>
      <c r="B9" s="90">
        <v>3000078143</v>
      </c>
      <c r="C9" s="90" t="s">
        <v>327</v>
      </c>
      <c r="D9" s="96" t="s">
        <v>337</v>
      </c>
      <c r="E9" s="51">
        <v>8504</v>
      </c>
      <c r="F9" s="43" t="s">
        <v>75</v>
      </c>
      <c r="G9" s="41">
        <v>3</v>
      </c>
      <c r="H9" s="97">
        <f t="shared" si="1"/>
        <v>18018</v>
      </c>
      <c r="I9" s="93">
        <f t="shared" si="0"/>
        <v>54054</v>
      </c>
      <c r="J9" s="82">
        <v>180</v>
      </c>
      <c r="K9" s="44">
        <v>159</v>
      </c>
      <c r="L9" s="133">
        <f>1050/6.5</f>
        <v>161.53846153846155</v>
      </c>
    </row>
    <row r="10" spans="1:15" ht="76.5">
      <c r="A10" s="41">
        <v>9</v>
      </c>
      <c r="B10" s="90">
        <v>3000078143</v>
      </c>
      <c r="C10" s="90" t="s">
        <v>328</v>
      </c>
      <c r="D10" s="96" t="s">
        <v>338</v>
      </c>
      <c r="E10" s="51">
        <v>8504</v>
      </c>
      <c r="F10" s="43" t="s">
        <v>75</v>
      </c>
      <c r="G10" s="41">
        <v>3</v>
      </c>
      <c r="H10" s="97">
        <f t="shared" si="1"/>
        <v>28028</v>
      </c>
      <c r="I10" s="93">
        <f t="shared" si="0"/>
        <v>84084</v>
      </c>
      <c r="J10" s="82">
        <v>280</v>
      </c>
      <c r="K10" s="44">
        <v>260</v>
      </c>
      <c r="L10" s="133">
        <f>1705/6.5</f>
        <v>262.30769230769232</v>
      </c>
    </row>
    <row r="11" spans="1:15" ht="76.5">
      <c r="A11" s="41">
        <v>10</v>
      </c>
      <c r="B11" s="90">
        <v>3000078143</v>
      </c>
      <c r="C11" s="90" t="s">
        <v>329</v>
      </c>
      <c r="D11" s="96" t="s">
        <v>339</v>
      </c>
      <c r="E11" s="51">
        <v>8504</v>
      </c>
      <c r="F11" s="43" t="s">
        <v>75</v>
      </c>
      <c r="G11" s="41">
        <v>3</v>
      </c>
      <c r="H11" s="97">
        <f t="shared" si="1"/>
        <v>60060</v>
      </c>
      <c r="I11" s="93">
        <f t="shared" si="0"/>
        <v>180180</v>
      </c>
      <c r="J11" s="82">
        <v>600</v>
      </c>
      <c r="K11" s="44">
        <v>570</v>
      </c>
      <c r="L11" s="133">
        <f>3740/6.5</f>
        <v>575.38461538461536</v>
      </c>
    </row>
    <row r="12" spans="1:15">
      <c r="A12" s="41">
        <v>11</v>
      </c>
      <c r="B12" s="386" t="s">
        <v>76</v>
      </c>
      <c r="C12" s="386"/>
      <c r="D12" s="386"/>
      <c r="E12" s="386"/>
      <c r="F12" s="386"/>
      <c r="G12" s="386"/>
      <c r="H12" s="386"/>
      <c r="I12" s="94">
        <f>SUM(I2:I11)</f>
        <v>1789788</v>
      </c>
    </row>
    <row r="13" spans="1:15">
      <c r="A13" s="41">
        <v>12</v>
      </c>
      <c r="B13" s="386" t="s">
        <v>158</v>
      </c>
      <c r="C13" s="386"/>
      <c r="D13" s="386"/>
      <c r="E13" s="386"/>
      <c r="F13" s="386"/>
      <c r="G13" s="386"/>
      <c r="H13" s="386"/>
      <c r="I13" s="94">
        <f>I12*18%</f>
        <v>322161.83999999997</v>
      </c>
    </row>
    <row r="14" spans="1:15">
      <c r="A14" s="41">
        <v>13</v>
      </c>
      <c r="B14" s="386" t="s">
        <v>79</v>
      </c>
      <c r="C14" s="386"/>
      <c r="D14" s="386"/>
      <c r="E14" s="386"/>
      <c r="F14" s="386"/>
      <c r="G14" s="386"/>
      <c r="H14" s="386"/>
      <c r="I14" s="94">
        <f>SUM(I12:I13)</f>
        <v>2111949.84</v>
      </c>
    </row>
    <row r="15" spans="1:15">
      <c r="A15" s="378"/>
      <c r="B15" s="379"/>
      <c r="C15" s="379"/>
      <c r="D15" s="379"/>
      <c r="E15" s="379"/>
      <c r="F15" s="379"/>
      <c r="G15" s="379"/>
      <c r="H15" s="379"/>
      <c r="I15" s="380"/>
    </row>
    <row r="16" spans="1:15" ht="140.25">
      <c r="A16" s="47" t="s">
        <v>80</v>
      </c>
      <c r="B16" s="381" t="s">
        <v>424</v>
      </c>
      <c r="C16" s="381"/>
      <c r="D16" s="381"/>
      <c r="E16" s="381"/>
      <c r="F16" s="381"/>
      <c r="G16" s="381"/>
      <c r="H16" s="381"/>
      <c r="I16" s="382"/>
    </row>
  </sheetData>
  <mergeCells count="5">
    <mergeCell ref="B12:H12"/>
    <mergeCell ref="B13:H13"/>
    <mergeCell ref="B14:H14"/>
    <mergeCell ref="A15:I15"/>
    <mergeCell ref="B16:I16"/>
  </mergeCells>
  <pageMargins left="0.7" right="0.7" top="0.75" bottom="0.75" header="0.3" footer="0.3"/>
  <pageSetup orientation="portrait" horizontalDpi="4294967292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1"/>
  <dimension ref="A1:O20"/>
  <sheetViews>
    <sheetView topLeftCell="A13" workbookViewId="0">
      <selection activeCell="D15" sqref="D15"/>
    </sheetView>
  </sheetViews>
  <sheetFormatPr defaultColWidth="9.140625" defaultRowHeight="12.75"/>
  <cols>
    <col min="1" max="1" width="5.85546875" style="119" bestFit="1" customWidth="1"/>
    <col min="2" max="2" width="16.42578125" style="119" customWidth="1"/>
    <col min="3" max="3" width="17.5703125" style="119" customWidth="1"/>
    <col min="4" max="4" width="46.28515625" style="119" customWidth="1"/>
    <col min="5" max="6" width="5" style="119" bestFit="1" customWidth="1"/>
    <col min="7" max="7" width="6.28515625" style="119" bestFit="1" customWidth="1"/>
    <col min="8" max="8" width="13.42578125" style="129" bestFit="1" customWidth="1"/>
    <col min="9" max="9" width="17" style="129" customWidth="1"/>
    <col min="10" max="10" width="9.28515625" style="119" bestFit="1" customWidth="1"/>
    <col min="11" max="11" width="10.28515625" style="127" bestFit="1" customWidth="1"/>
    <col min="12" max="16384" width="9.140625" style="119"/>
  </cols>
  <sheetData>
    <row r="1" spans="1:15" ht="25.5">
      <c r="A1" s="19" t="s">
        <v>0</v>
      </c>
      <c r="B1" s="19" t="s">
        <v>36</v>
      </c>
      <c r="C1" s="19" t="s">
        <v>1</v>
      </c>
      <c r="D1" s="117" t="s">
        <v>67</v>
      </c>
      <c r="E1" s="117" t="s">
        <v>25</v>
      </c>
      <c r="F1" s="117" t="s">
        <v>3</v>
      </c>
      <c r="G1" s="117" t="s">
        <v>68</v>
      </c>
      <c r="H1" s="118" t="s">
        <v>69</v>
      </c>
      <c r="I1" s="118" t="s">
        <v>70</v>
      </c>
      <c r="K1" s="120" t="s">
        <v>145</v>
      </c>
      <c r="L1" s="119" t="s">
        <v>316</v>
      </c>
      <c r="M1" s="119" t="s">
        <v>73</v>
      </c>
      <c r="O1" s="119" t="s">
        <v>74</v>
      </c>
    </row>
    <row r="2" spans="1:15" ht="51">
      <c r="A2" s="23">
        <v>1</v>
      </c>
      <c r="B2" s="10" t="s">
        <v>368</v>
      </c>
      <c r="C2" s="10" t="s">
        <v>340</v>
      </c>
      <c r="D2" s="121" t="s">
        <v>354</v>
      </c>
      <c r="E2" s="141"/>
      <c r="F2" s="21" t="s">
        <v>75</v>
      </c>
      <c r="G2" s="23">
        <v>1</v>
      </c>
      <c r="H2" s="130" t="s">
        <v>116</v>
      </c>
      <c r="I2" s="123">
        <v>0</v>
      </c>
      <c r="J2" s="124"/>
      <c r="K2" s="125"/>
    </row>
    <row r="3" spans="1:15" ht="51">
      <c r="A3" s="23">
        <v>2</v>
      </c>
      <c r="B3" s="10" t="s">
        <v>369</v>
      </c>
      <c r="C3" s="10" t="s">
        <v>341</v>
      </c>
      <c r="D3" s="121" t="s">
        <v>355</v>
      </c>
      <c r="E3" s="141"/>
      <c r="F3" s="21" t="s">
        <v>75</v>
      </c>
      <c r="G3" s="23">
        <v>1</v>
      </c>
      <c r="H3" s="130" t="s">
        <v>116</v>
      </c>
      <c r="I3" s="123">
        <v>0</v>
      </c>
      <c r="J3" s="124"/>
      <c r="K3" s="125"/>
    </row>
    <row r="4" spans="1:15" ht="51">
      <c r="A4" s="23">
        <v>3</v>
      </c>
      <c r="B4" s="10" t="s">
        <v>370</v>
      </c>
      <c r="C4" s="10" t="s">
        <v>342</v>
      </c>
      <c r="D4" s="121" t="s">
        <v>356</v>
      </c>
      <c r="E4" s="141"/>
      <c r="F4" s="21" t="s">
        <v>75</v>
      </c>
      <c r="G4" s="23">
        <v>1</v>
      </c>
      <c r="H4" s="130" t="s">
        <v>116</v>
      </c>
      <c r="I4" s="123">
        <v>0</v>
      </c>
      <c r="J4" s="124"/>
      <c r="K4" s="125"/>
    </row>
    <row r="5" spans="1:15" ht="114.75">
      <c r="A5" s="23">
        <v>4</v>
      </c>
      <c r="B5" s="10" t="s">
        <v>371</v>
      </c>
      <c r="C5" s="10" t="s">
        <v>343</v>
      </c>
      <c r="D5" s="121" t="s">
        <v>357</v>
      </c>
      <c r="E5" s="141"/>
      <c r="F5" s="21" t="s">
        <v>75</v>
      </c>
      <c r="G5" s="23">
        <v>1</v>
      </c>
      <c r="H5" s="130" t="s">
        <v>537</v>
      </c>
      <c r="I5" s="123">
        <v>0</v>
      </c>
      <c r="J5" s="124"/>
      <c r="K5" s="125"/>
    </row>
    <row r="6" spans="1:15" ht="114.75">
      <c r="A6" s="23">
        <v>5</v>
      </c>
      <c r="B6" s="10" t="s">
        <v>372</v>
      </c>
      <c r="C6" s="10" t="s">
        <v>344</v>
      </c>
      <c r="D6" s="121" t="s">
        <v>358</v>
      </c>
      <c r="E6" s="141"/>
      <c r="F6" s="21" t="s">
        <v>75</v>
      </c>
      <c r="G6" s="23">
        <v>1</v>
      </c>
      <c r="H6" s="130" t="s">
        <v>537</v>
      </c>
      <c r="I6" s="123">
        <v>0</v>
      </c>
      <c r="J6" s="124"/>
      <c r="K6" s="125"/>
    </row>
    <row r="7" spans="1:15" ht="114.75">
      <c r="A7" s="23">
        <v>6</v>
      </c>
      <c r="B7" s="10" t="s">
        <v>373</v>
      </c>
      <c r="C7" s="10" t="s">
        <v>345</v>
      </c>
      <c r="D7" s="121" t="s">
        <v>359</v>
      </c>
      <c r="E7" s="141"/>
      <c r="F7" s="21" t="s">
        <v>75</v>
      </c>
      <c r="G7" s="23">
        <v>1</v>
      </c>
      <c r="H7" s="130" t="s">
        <v>537</v>
      </c>
      <c r="I7" s="123">
        <v>0</v>
      </c>
      <c r="J7" s="124"/>
      <c r="K7" s="125"/>
    </row>
    <row r="8" spans="1:15" ht="114.75">
      <c r="A8" s="23">
        <v>7</v>
      </c>
      <c r="B8" s="10" t="s">
        <v>374</v>
      </c>
      <c r="C8" s="10" t="s">
        <v>346</v>
      </c>
      <c r="D8" s="121" t="s">
        <v>360</v>
      </c>
      <c r="E8" s="141"/>
      <c r="F8" s="21" t="s">
        <v>75</v>
      </c>
      <c r="G8" s="23">
        <v>1</v>
      </c>
      <c r="H8" s="130" t="s">
        <v>537</v>
      </c>
      <c r="I8" s="123">
        <v>0</v>
      </c>
      <c r="J8" s="124"/>
      <c r="K8" s="125"/>
    </row>
    <row r="9" spans="1:15" ht="140.25">
      <c r="A9" s="23">
        <v>8</v>
      </c>
      <c r="B9" s="10" t="s">
        <v>375</v>
      </c>
      <c r="C9" s="10" t="s">
        <v>347</v>
      </c>
      <c r="D9" s="121" t="s">
        <v>361</v>
      </c>
      <c r="E9" s="141"/>
      <c r="F9" s="21" t="s">
        <v>75</v>
      </c>
      <c r="G9" s="23">
        <v>1</v>
      </c>
      <c r="H9" s="130" t="s">
        <v>537</v>
      </c>
      <c r="I9" s="123">
        <v>0</v>
      </c>
      <c r="J9" s="124"/>
      <c r="K9" s="125"/>
    </row>
    <row r="10" spans="1:15" ht="76.5">
      <c r="A10" s="23">
        <v>9</v>
      </c>
      <c r="B10" s="10" t="s">
        <v>376</v>
      </c>
      <c r="C10" s="10" t="s">
        <v>348</v>
      </c>
      <c r="D10" s="121" t="s">
        <v>362</v>
      </c>
      <c r="E10" s="141"/>
      <c r="F10" s="21" t="s">
        <v>75</v>
      </c>
      <c r="G10" s="23">
        <v>2</v>
      </c>
      <c r="H10" s="130">
        <f t="shared" ref="H10:H15" si="0">J10*77*1.3</f>
        <v>26526.5</v>
      </c>
      <c r="I10" s="123">
        <f>H10*G10</f>
        <v>53053</v>
      </c>
      <c r="J10" s="124">
        <f>K10</f>
        <v>265</v>
      </c>
      <c r="K10" s="125">
        <v>265</v>
      </c>
    </row>
    <row r="11" spans="1:15" ht="76.5">
      <c r="A11" s="23">
        <v>10</v>
      </c>
      <c r="B11" s="10" t="s">
        <v>377</v>
      </c>
      <c r="C11" s="10" t="s">
        <v>349</v>
      </c>
      <c r="D11" s="121" t="s">
        <v>363</v>
      </c>
      <c r="E11" s="141"/>
      <c r="F11" s="21" t="s">
        <v>75</v>
      </c>
      <c r="G11" s="23">
        <v>1</v>
      </c>
      <c r="H11" s="130">
        <f t="shared" si="0"/>
        <v>25025</v>
      </c>
      <c r="I11" s="123">
        <f>H11*G11</f>
        <v>25025</v>
      </c>
      <c r="J11" s="124">
        <f>K11</f>
        <v>250</v>
      </c>
      <c r="K11" s="125">
        <v>250</v>
      </c>
    </row>
    <row r="12" spans="1:15" ht="76.5">
      <c r="A12" s="23">
        <v>11</v>
      </c>
      <c r="B12" s="10" t="s">
        <v>378</v>
      </c>
      <c r="C12" s="10" t="s">
        <v>350</v>
      </c>
      <c r="D12" s="121" t="s">
        <v>364</v>
      </c>
      <c r="E12" s="141"/>
      <c r="F12" s="21" t="s">
        <v>75</v>
      </c>
      <c r="G12" s="23">
        <v>1</v>
      </c>
      <c r="H12" s="130">
        <f t="shared" si="0"/>
        <v>16816.8</v>
      </c>
      <c r="I12" s="123">
        <f>H12*G12</f>
        <v>16816.8</v>
      </c>
      <c r="J12" s="124">
        <f>K12</f>
        <v>168</v>
      </c>
      <c r="K12" s="125">
        <v>168</v>
      </c>
    </row>
    <row r="13" spans="1:15" ht="51">
      <c r="A13" s="23">
        <v>12</v>
      </c>
      <c r="B13" s="10" t="s">
        <v>379</v>
      </c>
      <c r="C13" s="10" t="s">
        <v>351</v>
      </c>
      <c r="D13" s="121" t="s">
        <v>365</v>
      </c>
      <c r="E13" s="141"/>
      <c r="F13" s="21" t="s">
        <v>75</v>
      </c>
      <c r="G13" s="23">
        <v>1</v>
      </c>
      <c r="H13" s="130">
        <f t="shared" si="0"/>
        <v>26526.5</v>
      </c>
      <c r="I13" s="123">
        <f>H13*G13</f>
        <v>26526.5</v>
      </c>
      <c r="J13" s="124">
        <f>K13</f>
        <v>265</v>
      </c>
      <c r="K13" s="125">
        <v>265</v>
      </c>
    </row>
    <row r="14" spans="1:15" ht="102">
      <c r="A14" s="23">
        <v>13</v>
      </c>
      <c r="B14" s="10" t="s">
        <v>380</v>
      </c>
      <c r="C14" s="10" t="s">
        <v>352</v>
      </c>
      <c r="D14" s="121" t="s">
        <v>366</v>
      </c>
      <c r="E14" s="141"/>
      <c r="F14" s="21" t="s">
        <v>75</v>
      </c>
      <c r="G14" s="23">
        <v>3</v>
      </c>
      <c r="H14" s="130" t="s">
        <v>538</v>
      </c>
      <c r="I14" s="123">
        <v>0</v>
      </c>
      <c r="J14" s="124"/>
      <c r="K14" s="125"/>
    </row>
    <row r="15" spans="1:15" ht="38.25">
      <c r="A15" s="23">
        <v>14</v>
      </c>
      <c r="B15" s="10" t="s">
        <v>381</v>
      </c>
      <c r="C15" s="10" t="s">
        <v>353</v>
      </c>
      <c r="D15" s="121" t="s">
        <v>367</v>
      </c>
      <c r="E15" s="141"/>
      <c r="F15" s="21" t="s">
        <v>75</v>
      </c>
      <c r="G15" s="23">
        <v>2</v>
      </c>
      <c r="H15" s="130">
        <f t="shared" si="0"/>
        <v>33033</v>
      </c>
      <c r="I15" s="123">
        <f>H15*G15</f>
        <v>66066</v>
      </c>
      <c r="J15" s="124">
        <v>330</v>
      </c>
      <c r="K15" s="125">
        <v>330</v>
      </c>
    </row>
    <row r="16" spans="1:15">
      <c r="A16" s="23">
        <v>15</v>
      </c>
      <c r="B16" s="397" t="s">
        <v>76</v>
      </c>
      <c r="C16" s="397"/>
      <c r="D16" s="397"/>
      <c r="E16" s="397"/>
      <c r="F16" s="397"/>
      <c r="G16" s="397"/>
      <c r="H16" s="397"/>
      <c r="I16" s="126">
        <f>SUM(I2:I15)</f>
        <v>187487.3</v>
      </c>
    </row>
    <row r="17" spans="1:9">
      <c r="A17" s="23">
        <v>16</v>
      </c>
      <c r="B17" s="397" t="s">
        <v>158</v>
      </c>
      <c r="C17" s="397"/>
      <c r="D17" s="397"/>
      <c r="E17" s="397"/>
      <c r="F17" s="397"/>
      <c r="G17" s="397"/>
      <c r="H17" s="397"/>
      <c r="I17" s="126">
        <f>I16*18%</f>
        <v>33747.714</v>
      </c>
    </row>
    <row r="18" spans="1:9">
      <c r="A18" s="23">
        <v>17</v>
      </c>
      <c r="B18" s="397" t="s">
        <v>79</v>
      </c>
      <c r="C18" s="397"/>
      <c r="D18" s="397"/>
      <c r="E18" s="397"/>
      <c r="F18" s="397"/>
      <c r="G18" s="397"/>
      <c r="H18" s="397"/>
      <c r="I18" s="126">
        <f>SUM(I16:I17)</f>
        <v>221235.014</v>
      </c>
    </row>
    <row r="19" spans="1:9">
      <c r="A19" s="398"/>
      <c r="B19" s="399"/>
      <c r="C19" s="399"/>
      <c r="D19" s="399"/>
      <c r="E19" s="399"/>
      <c r="F19" s="399"/>
      <c r="G19" s="399"/>
      <c r="H19" s="399"/>
      <c r="I19" s="400"/>
    </row>
    <row r="20" spans="1:9" ht="153" customHeight="1">
      <c r="A20" s="128" t="s">
        <v>80</v>
      </c>
      <c r="B20" s="360" t="s">
        <v>493</v>
      </c>
      <c r="C20" s="360"/>
      <c r="D20" s="360"/>
      <c r="E20" s="360"/>
      <c r="F20" s="360"/>
      <c r="G20" s="360"/>
      <c r="H20" s="360"/>
      <c r="I20" s="361"/>
    </row>
  </sheetData>
  <mergeCells count="5">
    <mergeCell ref="B16:H16"/>
    <mergeCell ref="B17:H17"/>
    <mergeCell ref="B18:H18"/>
    <mergeCell ref="A19:I19"/>
    <mergeCell ref="B20:I20"/>
  </mergeCells>
  <pageMargins left="0.7" right="0.7" top="0.75" bottom="0.75" header="0.3" footer="0.3"/>
  <pageSetup orientation="portrait" horizontalDpi="4294967292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2"/>
  <dimension ref="A1:O10"/>
  <sheetViews>
    <sheetView topLeftCell="A4" workbookViewId="0">
      <selection activeCell="D4" sqref="D4"/>
    </sheetView>
  </sheetViews>
  <sheetFormatPr defaultColWidth="9.140625" defaultRowHeight="12.75"/>
  <cols>
    <col min="1" max="1" width="5.85546875" style="101" bestFit="1" customWidth="1"/>
    <col min="2" max="2" width="9.85546875" style="101" customWidth="1"/>
    <col min="3" max="3" width="16.85546875" style="101" bestFit="1" customWidth="1"/>
    <col min="4" max="4" width="46.28515625" style="101" customWidth="1"/>
    <col min="5" max="6" width="5" style="101" bestFit="1" customWidth="1"/>
    <col min="7" max="7" width="6.28515625" style="101" bestFit="1" customWidth="1"/>
    <col min="8" max="8" width="13.42578125" style="116" bestFit="1" customWidth="1"/>
    <col min="9" max="9" width="17" style="116" customWidth="1"/>
    <col min="10" max="10" width="10.28515625" style="101" bestFit="1" customWidth="1"/>
    <col min="11" max="11" width="10.28515625" style="114" bestFit="1" customWidth="1"/>
    <col min="12" max="12" width="9.140625" style="101"/>
    <col min="13" max="14" width="11.28515625" style="103" bestFit="1" customWidth="1"/>
    <col min="15" max="16384" width="9.140625" style="101"/>
  </cols>
  <sheetData>
    <row r="1" spans="1:15" ht="25.5">
      <c r="A1" s="98" t="s">
        <v>0</v>
      </c>
      <c r="B1" s="98" t="s">
        <v>36</v>
      </c>
      <c r="C1" s="98" t="s">
        <v>1</v>
      </c>
      <c r="D1" s="99" t="s">
        <v>67</v>
      </c>
      <c r="E1" s="99" t="s">
        <v>25</v>
      </c>
      <c r="F1" s="99" t="s">
        <v>3</v>
      </c>
      <c r="G1" s="99" t="s">
        <v>68</v>
      </c>
      <c r="H1" s="100" t="s">
        <v>69</v>
      </c>
      <c r="I1" s="100" t="s">
        <v>70</v>
      </c>
      <c r="J1" s="101" t="s">
        <v>394</v>
      </c>
      <c r="K1" s="102" t="s">
        <v>145</v>
      </c>
      <c r="L1" s="101" t="s">
        <v>316</v>
      </c>
      <c r="M1" s="103" t="s">
        <v>392</v>
      </c>
      <c r="N1" s="103" t="s">
        <v>393</v>
      </c>
      <c r="O1" s="101" t="s">
        <v>74</v>
      </c>
    </row>
    <row r="2" spans="1:15" ht="153">
      <c r="A2" s="104">
        <v>1</v>
      </c>
      <c r="B2" s="105" t="s">
        <v>198</v>
      </c>
      <c r="C2" s="105" t="s">
        <v>383</v>
      </c>
      <c r="D2" s="106" t="s">
        <v>384</v>
      </c>
      <c r="E2" s="107">
        <v>8413</v>
      </c>
      <c r="F2" s="108" t="s">
        <v>391</v>
      </c>
      <c r="G2" s="104">
        <v>1</v>
      </c>
      <c r="H2" s="109">
        <f>J2*80*1.3</f>
        <v>1306685.7142857141</v>
      </c>
      <c r="I2" s="110">
        <f>H2*G2</f>
        <v>1306685.7142857141</v>
      </c>
      <c r="J2" s="111">
        <f>MIN(K2:O2)+150</f>
        <v>12564.285714285714</v>
      </c>
      <c r="K2" s="112"/>
      <c r="M2" s="103">
        <v>13060</v>
      </c>
      <c r="N2" s="103">
        <f>86900/7</f>
        <v>12414.285714285714</v>
      </c>
    </row>
    <row r="3" spans="1:15" ht="178.5">
      <c r="A3" s="104">
        <v>2</v>
      </c>
      <c r="B3" s="105" t="s">
        <v>198</v>
      </c>
      <c r="C3" s="105" t="s">
        <v>385</v>
      </c>
      <c r="D3" s="106" t="s">
        <v>386</v>
      </c>
      <c r="E3" s="107">
        <v>8413</v>
      </c>
      <c r="F3" s="108" t="s">
        <v>391</v>
      </c>
      <c r="G3" s="104">
        <v>1</v>
      </c>
      <c r="H3" s="109">
        <f>J3*80*1.3</f>
        <v>1306685.7142857141</v>
      </c>
      <c r="I3" s="110">
        <f>H3*G3</f>
        <v>1306685.7142857141</v>
      </c>
      <c r="J3" s="111">
        <f>MIN(K3:O3)+150</f>
        <v>12564.285714285714</v>
      </c>
      <c r="K3" s="112"/>
      <c r="M3" s="103">
        <v>13700</v>
      </c>
      <c r="N3" s="103">
        <f>86900/7</f>
        <v>12414.285714285714</v>
      </c>
    </row>
    <row r="4" spans="1:15" ht="178.5">
      <c r="A4" s="104">
        <v>3</v>
      </c>
      <c r="B4" s="105" t="s">
        <v>198</v>
      </c>
      <c r="C4" s="105" t="s">
        <v>387</v>
      </c>
      <c r="D4" s="106" t="s">
        <v>388</v>
      </c>
      <c r="E4" s="107">
        <v>8413</v>
      </c>
      <c r="F4" s="108" t="s">
        <v>391</v>
      </c>
      <c r="G4" s="104">
        <v>1</v>
      </c>
      <c r="H4" s="109">
        <f>J4*80*1.3</f>
        <v>1528057.1428571427</v>
      </c>
      <c r="I4" s="110">
        <f>H4*G4</f>
        <v>1528057.1428571427</v>
      </c>
      <c r="J4" s="111">
        <f>MIN(K4:O4)+150</f>
        <v>14692.857142857143</v>
      </c>
      <c r="K4" s="112"/>
      <c r="M4" s="103">
        <v>16000</v>
      </c>
      <c r="N4" s="103">
        <f>101800/7</f>
        <v>14542.857142857143</v>
      </c>
    </row>
    <row r="5" spans="1:15" ht="89.25">
      <c r="A5" s="104">
        <v>4</v>
      </c>
      <c r="B5" s="105" t="s">
        <v>198</v>
      </c>
      <c r="C5" s="105" t="s">
        <v>389</v>
      </c>
      <c r="D5" s="106" t="s">
        <v>390</v>
      </c>
      <c r="E5" s="107">
        <v>8406</v>
      </c>
      <c r="F5" s="108" t="s">
        <v>382</v>
      </c>
      <c r="G5" s="104">
        <v>1</v>
      </c>
      <c r="H5" s="109">
        <f>J5*80*1.3</f>
        <v>2184742.8571428573</v>
      </c>
      <c r="I5" s="110">
        <f>H5*G5</f>
        <v>2184742.8571428573</v>
      </c>
      <c r="J5" s="111">
        <f>MIN(K5:O5)+150</f>
        <v>21007.142857142859</v>
      </c>
      <c r="K5" s="112"/>
      <c r="N5" s="103">
        <f>146000/7</f>
        <v>20857.142857142859</v>
      </c>
    </row>
    <row r="6" spans="1:15">
      <c r="A6" s="104">
        <v>5</v>
      </c>
      <c r="B6" s="401" t="s">
        <v>76</v>
      </c>
      <c r="C6" s="401"/>
      <c r="D6" s="401"/>
      <c r="E6" s="401"/>
      <c r="F6" s="401"/>
      <c r="G6" s="401"/>
      <c r="H6" s="401"/>
      <c r="I6" s="113">
        <f>SUM(I2:I5)</f>
        <v>6326171.4285714282</v>
      </c>
    </row>
    <row r="7" spans="1:15">
      <c r="A7" s="104">
        <v>6</v>
      </c>
      <c r="B7" s="401" t="s">
        <v>158</v>
      </c>
      <c r="C7" s="401"/>
      <c r="D7" s="401"/>
      <c r="E7" s="401"/>
      <c r="F7" s="401"/>
      <c r="G7" s="401"/>
      <c r="H7" s="401"/>
      <c r="I7" s="113">
        <f>I6*18%</f>
        <v>1138710.857142857</v>
      </c>
    </row>
    <row r="8" spans="1:15">
      <c r="A8" s="104">
        <v>7</v>
      </c>
      <c r="B8" s="401" t="s">
        <v>79</v>
      </c>
      <c r="C8" s="401"/>
      <c r="D8" s="401"/>
      <c r="E8" s="401"/>
      <c r="F8" s="401"/>
      <c r="G8" s="401"/>
      <c r="H8" s="401"/>
      <c r="I8" s="113">
        <f>SUM(I6:I7)</f>
        <v>7464882.2857142854</v>
      </c>
    </row>
    <row r="9" spans="1:15">
      <c r="A9" s="402"/>
      <c r="B9" s="403"/>
      <c r="C9" s="403"/>
      <c r="D9" s="403"/>
      <c r="E9" s="403"/>
      <c r="F9" s="403"/>
      <c r="G9" s="403"/>
      <c r="H9" s="403"/>
      <c r="I9" s="404"/>
    </row>
    <row r="10" spans="1:15" ht="153" customHeight="1">
      <c r="A10" s="115" t="s">
        <v>80</v>
      </c>
      <c r="B10" s="405" t="s">
        <v>395</v>
      </c>
      <c r="C10" s="405"/>
      <c r="D10" s="405"/>
      <c r="E10" s="405"/>
      <c r="F10" s="405"/>
      <c r="G10" s="405"/>
      <c r="H10" s="405"/>
      <c r="I10" s="406"/>
    </row>
  </sheetData>
  <mergeCells count="5">
    <mergeCell ref="B6:H6"/>
    <mergeCell ref="B7:H7"/>
    <mergeCell ref="B8:H8"/>
    <mergeCell ref="A9:I9"/>
    <mergeCell ref="B10:I10"/>
  </mergeCells>
  <pageMargins left="0.7" right="0.7" top="0.75" bottom="0.75" header="0.3" footer="0.3"/>
  <pageSetup orientation="portrait" horizontalDpi="4294967292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3"/>
  <dimension ref="A1:O7"/>
  <sheetViews>
    <sheetView workbookViewId="0">
      <selection sqref="A1:I7"/>
    </sheetView>
  </sheetViews>
  <sheetFormatPr defaultColWidth="9.140625" defaultRowHeight="12.75"/>
  <cols>
    <col min="1" max="1" width="5.85546875" style="30" bestFit="1" customWidth="1"/>
    <col min="2" max="2" width="12.5703125" style="30" customWidth="1"/>
    <col min="3" max="3" width="9.7109375" style="30" bestFit="1" customWidth="1"/>
    <col min="4" max="4" width="46.28515625" style="30" customWidth="1"/>
    <col min="5" max="6" width="5" style="30" bestFit="1" customWidth="1"/>
    <col min="7" max="7" width="6.28515625" style="30" bestFit="1" customWidth="1"/>
    <col min="8" max="8" width="13.42578125" style="95" bestFit="1" customWidth="1"/>
    <col min="9" max="9" width="17" style="95" customWidth="1"/>
    <col min="10" max="10" width="9.28515625" style="30" bestFit="1" customWidth="1"/>
    <col min="11" max="11" width="10.28515625" style="31" bestFit="1" customWidth="1"/>
    <col min="12" max="16384" width="9.140625" style="30"/>
  </cols>
  <sheetData>
    <row r="1" spans="1:15" ht="25.5">
      <c r="A1" s="37" t="s">
        <v>0</v>
      </c>
      <c r="B1" s="37" t="s">
        <v>36</v>
      </c>
      <c r="C1" s="37" t="s">
        <v>1</v>
      </c>
      <c r="D1" s="38" t="s">
        <v>67</v>
      </c>
      <c r="E1" s="38" t="s">
        <v>25</v>
      </c>
      <c r="F1" s="38" t="s">
        <v>3</v>
      </c>
      <c r="G1" s="38" t="s">
        <v>68</v>
      </c>
      <c r="H1" s="91" t="s">
        <v>69</v>
      </c>
      <c r="I1" s="91" t="s">
        <v>70</v>
      </c>
      <c r="K1" s="40" t="s">
        <v>145</v>
      </c>
      <c r="L1" s="30" t="s">
        <v>117</v>
      </c>
      <c r="M1" s="30" t="s">
        <v>316</v>
      </c>
      <c r="O1" s="30" t="s">
        <v>74</v>
      </c>
    </row>
    <row r="2" spans="1:15" ht="114.75">
      <c r="A2" s="41">
        <v>1</v>
      </c>
      <c r="B2" s="90" t="s">
        <v>198</v>
      </c>
      <c r="C2" s="90" t="s">
        <v>198</v>
      </c>
      <c r="D2" s="96" t="s">
        <v>397</v>
      </c>
      <c r="E2" s="51">
        <v>8414</v>
      </c>
      <c r="F2" s="43" t="s">
        <v>75</v>
      </c>
      <c r="G2" s="41">
        <v>30</v>
      </c>
      <c r="H2" s="92">
        <v>8940</v>
      </c>
      <c r="I2" s="93">
        <f>H2*G2</f>
        <v>268200</v>
      </c>
      <c r="J2" s="82">
        <v>90</v>
      </c>
      <c r="K2" s="44"/>
      <c r="L2" s="30">
        <v>80</v>
      </c>
      <c r="M2" s="30">
        <f>320/6</f>
        <v>53.333333333333336</v>
      </c>
    </row>
    <row r="3" spans="1:15">
      <c r="A3" s="41">
        <v>2</v>
      </c>
      <c r="B3" s="386" t="s">
        <v>76</v>
      </c>
      <c r="C3" s="386"/>
      <c r="D3" s="386"/>
      <c r="E3" s="386"/>
      <c r="F3" s="386"/>
      <c r="G3" s="386"/>
      <c r="H3" s="386"/>
      <c r="I3" s="94">
        <f>SUM(I2:I2)</f>
        <v>268200</v>
      </c>
    </row>
    <row r="4" spans="1:15">
      <c r="A4" s="41">
        <v>3</v>
      </c>
      <c r="B4" s="386" t="s">
        <v>158</v>
      </c>
      <c r="C4" s="386"/>
      <c r="D4" s="386"/>
      <c r="E4" s="386"/>
      <c r="F4" s="386"/>
      <c r="G4" s="386"/>
      <c r="H4" s="386"/>
      <c r="I4" s="94">
        <f>I3*18%</f>
        <v>48276</v>
      </c>
    </row>
    <row r="5" spans="1:15">
      <c r="A5" s="41">
        <v>4</v>
      </c>
      <c r="B5" s="386" t="s">
        <v>79</v>
      </c>
      <c r="C5" s="386"/>
      <c r="D5" s="386"/>
      <c r="E5" s="386"/>
      <c r="F5" s="386"/>
      <c r="G5" s="386"/>
      <c r="H5" s="386"/>
      <c r="I5" s="94">
        <f>SUM(I3:I4)</f>
        <v>316476</v>
      </c>
    </row>
    <row r="6" spans="1:15">
      <c r="A6" s="378"/>
      <c r="B6" s="379"/>
      <c r="C6" s="379"/>
      <c r="D6" s="379"/>
      <c r="E6" s="379"/>
      <c r="F6" s="379"/>
      <c r="G6" s="379"/>
      <c r="H6" s="379"/>
      <c r="I6" s="380"/>
    </row>
    <row r="7" spans="1:15" ht="153" customHeight="1">
      <c r="A7" s="47" t="s">
        <v>80</v>
      </c>
      <c r="B7" s="381" t="s">
        <v>396</v>
      </c>
      <c r="C7" s="381"/>
      <c r="D7" s="381"/>
      <c r="E7" s="381"/>
      <c r="F7" s="381"/>
      <c r="G7" s="381"/>
      <c r="H7" s="381"/>
      <c r="I7" s="382"/>
    </row>
  </sheetData>
  <mergeCells count="5">
    <mergeCell ref="B3:H3"/>
    <mergeCell ref="B4:H4"/>
    <mergeCell ref="B5:H5"/>
    <mergeCell ref="A6:I6"/>
    <mergeCell ref="B7:I7"/>
  </mergeCells>
  <pageMargins left="0.7" right="0.7" top="0.75" bottom="0.75" header="0.3" footer="0.3"/>
  <pageSetup orientation="portrait" horizontalDpi="4294967292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4"/>
  <dimension ref="A1:N10"/>
  <sheetViews>
    <sheetView workbookViewId="0">
      <selection sqref="A1:H8"/>
    </sheetView>
  </sheetViews>
  <sheetFormatPr defaultColWidth="9.140625" defaultRowHeight="12.75"/>
  <cols>
    <col min="1" max="1" width="5.85546875" style="119" bestFit="1" customWidth="1"/>
    <col min="2" max="2" width="12.5703125" style="119" customWidth="1"/>
    <col min="3" max="3" width="9.7109375" style="119" bestFit="1" customWidth="1"/>
    <col min="4" max="4" width="46.28515625" style="119" customWidth="1"/>
    <col min="5" max="5" width="5" style="119" bestFit="1" customWidth="1"/>
    <col min="6" max="6" width="6.28515625" style="119" bestFit="1" customWidth="1"/>
    <col min="7" max="7" width="13.42578125" style="129" bestFit="1" customWidth="1"/>
    <col min="8" max="8" width="17" style="129" customWidth="1"/>
    <col min="9" max="9" width="9.28515625" style="119" bestFit="1" customWidth="1"/>
    <col min="10" max="10" width="10.28515625" style="127" bestFit="1" customWidth="1"/>
    <col min="11" max="16384" width="9.140625" style="119"/>
  </cols>
  <sheetData>
    <row r="1" spans="1:14" ht="25.5">
      <c r="A1" s="19" t="s">
        <v>0</v>
      </c>
      <c r="B1" s="19" t="s">
        <v>36</v>
      </c>
      <c r="C1" s="19" t="s">
        <v>1</v>
      </c>
      <c r="D1" s="117" t="s">
        <v>67</v>
      </c>
      <c r="E1" s="117" t="s">
        <v>3</v>
      </c>
      <c r="F1" s="117" t="s">
        <v>68</v>
      </c>
      <c r="G1" s="118" t="s">
        <v>69</v>
      </c>
      <c r="H1" s="118" t="s">
        <v>70</v>
      </c>
      <c r="J1" s="120" t="s">
        <v>145</v>
      </c>
      <c r="K1" s="119" t="s">
        <v>414</v>
      </c>
      <c r="L1" s="119" t="s">
        <v>316</v>
      </c>
      <c r="N1" s="119" t="s">
        <v>74</v>
      </c>
    </row>
    <row r="2" spans="1:14" ht="38.25">
      <c r="A2" s="23">
        <v>1</v>
      </c>
      <c r="B2" s="10">
        <v>3000085675</v>
      </c>
      <c r="C2" s="10" t="s">
        <v>398</v>
      </c>
      <c r="D2" s="121" t="s">
        <v>403</v>
      </c>
      <c r="E2" s="21" t="s">
        <v>75</v>
      </c>
      <c r="F2" s="23">
        <v>1</v>
      </c>
      <c r="G2" s="122">
        <f>I2*80*1.32</f>
        <v>89760</v>
      </c>
      <c r="H2" s="123">
        <f>G2*F2</f>
        <v>89760</v>
      </c>
      <c r="I2" s="124">
        <v>850</v>
      </c>
      <c r="J2" s="125"/>
      <c r="K2" s="119">
        <f>612+35+10+100</f>
        <v>757</v>
      </c>
    </row>
    <row r="3" spans="1:14" ht="89.25">
      <c r="A3" s="23">
        <v>2</v>
      </c>
      <c r="B3" s="10">
        <v>3000085741</v>
      </c>
      <c r="C3" s="10" t="s">
        <v>399</v>
      </c>
      <c r="D3" s="121" t="s">
        <v>406</v>
      </c>
      <c r="E3" s="21" t="s">
        <v>75</v>
      </c>
      <c r="F3" s="23">
        <v>50</v>
      </c>
      <c r="G3" s="122">
        <f>I3*80*1.32</f>
        <v>633.6</v>
      </c>
      <c r="H3" s="123">
        <f>G3*F3</f>
        <v>31680</v>
      </c>
      <c r="I3" s="124">
        <v>6</v>
      </c>
      <c r="J3" s="125">
        <v>3.7</v>
      </c>
    </row>
    <row r="4" spans="1:14" ht="38.25">
      <c r="A4" s="23">
        <v>3</v>
      </c>
      <c r="B4" s="10">
        <v>3000085741</v>
      </c>
      <c r="C4" s="10" t="s">
        <v>400</v>
      </c>
      <c r="D4" s="121" t="s">
        <v>405</v>
      </c>
      <c r="E4" s="21" t="s">
        <v>75</v>
      </c>
      <c r="F4" s="23">
        <v>20</v>
      </c>
      <c r="G4" s="122">
        <f>I4*80*1.32</f>
        <v>3379.2000000000003</v>
      </c>
      <c r="H4" s="123">
        <f>G4*F4</f>
        <v>67584</v>
      </c>
      <c r="I4" s="124">
        <v>32</v>
      </c>
      <c r="J4" s="125">
        <v>29</v>
      </c>
    </row>
    <row r="5" spans="1:14" ht="38.25">
      <c r="A5" s="23">
        <v>4</v>
      </c>
      <c r="B5" s="10">
        <v>3000085954</v>
      </c>
      <c r="C5" s="10" t="s">
        <v>401</v>
      </c>
      <c r="D5" s="121" t="s">
        <v>404</v>
      </c>
      <c r="E5" s="21" t="s">
        <v>75</v>
      </c>
      <c r="F5" s="23">
        <v>30</v>
      </c>
      <c r="G5" s="122">
        <f>I5*80*1.32</f>
        <v>1372.8</v>
      </c>
      <c r="H5" s="123">
        <f>G5*F5</f>
        <v>41184</v>
      </c>
      <c r="I5" s="124">
        <v>13</v>
      </c>
      <c r="J5" s="125">
        <v>11</v>
      </c>
    </row>
    <row r="6" spans="1:14">
      <c r="A6" s="23">
        <v>5</v>
      </c>
      <c r="B6" s="397" t="s">
        <v>76</v>
      </c>
      <c r="C6" s="397"/>
      <c r="D6" s="397"/>
      <c r="E6" s="397"/>
      <c r="F6" s="397"/>
      <c r="G6" s="397"/>
      <c r="H6" s="126">
        <f>SUM(H2:H5)</f>
        <v>230208</v>
      </c>
    </row>
    <row r="7" spans="1:14">
      <c r="A7" s="23">
        <v>6</v>
      </c>
      <c r="B7" s="397" t="s">
        <v>402</v>
      </c>
      <c r="C7" s="397"/>
      <c r="D7" s="397"/>
      <c r="E7" s="397"/>
      <c r="F7" s="397"/>
      <c r="G7" s="397"/>
      <c r="H7" s="126">
        <f>H6*18%</f>
        <v>41437.439999999995</v>
      </c>
    </row>
    <row r="8" spans="1:14">
      <c r="A8" s="23">
        <v>7</v>
      </c>
      <c r="B8" s="397" t="s">
        <v>79</v>
      </c>
      <c r="C8" s="397"/>
      <c r="D8" s="397"/>
      <c r="E8" s="397"/>
      <c r="F8" s="397"/>
      <c r="G8" s="397"/>
      <c r="H8" s="126">
        <f>SUM(H6:H7)</f>
        <v>271645.44</v>
      </c>
    </row>
    <row r="9" spans="1:14">
      <c r="A9" s="398"/>
      <c r="B9" s="399"/>
      <c r="C9" s="399"/>
      <c r="D9" s="399"/>
      <c r="E9" s="399"/>
      <c r="F9" s="399"/>
      <c r="G9" s="399"/>
      <c r="H9" s="400"/>
    </row>
    <row r="10" spans="1:14" ht="153" customHeight="1">
      <c r="A10" s="128" t="s">
        <v>80</v>
      </c>
      <c r="B10" s="360" t="s">
        <v>407</v>
      </c>
      <c r="C10" s="360"/>
      <c r="D10" s="360"/>
      <c r="E10" s="360"/>
      <c r="F10" s="360"/>
      <c r="G10" s="360"/>
      <c r="H10" s="361"/>
    </row>
  </sheetData>
  <mergeCells count="5">
    <mergeCell ref="B6:G6"/>
    <mergeCell ref="B7:G7"/>
    <mergeCell ref="B8:G8"/>
    <mergeCell ref="A9:H9"/>
    <mergeCell ref="B10:H10"/>
  </mergeCells>
  <pageMargins left="0.7" right="0.7" top="0.75" bottom="0.75" header="0.3" footer="0.3"/>
  <pageSetup orientation="portrait" horizontalDpi="4294967292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5"/>
  <dimension ref="A1:N7"/>
  <sheetViews>
    <sheetView workbookViewId="0">
      <selection activeCell="K2" sqref="K2"/>
    </sheetView>
  </sheetViews>
  <sheetFormatPr defaultColWidth="9.140625" defaultRowHeight="12.75"/>
  <cols>
    <col min="1" max="1" width="5.85546875" style="119" bestFit="1" customWidth="1"/>
    <col min="2" max="2" width="13.140625" style="119" bestFit="1" customWidth="1"/>
    <col min="3" max="3" width="9.7109375" style="119" bestFit="1" customWidth="1"/>
    <col min="4" max="4" width="46.28515625" style="119" customWidth="1"/>
    <col min="5" max="5" width="5" style="119" bestFit="1" customWidth="1"/>
    <col min="6" max="6" width="6.28515625" style="119" bestFit="1" customWidth="1"/>
    <col min="7" max="7" width="13.42578125" style="129" bestFit="1" customWidth="1"/>
    <col min="8" max="8" width="17" style="129" customWidth="1"/>
    <col min="9" max="9" width="9.28515625" style="119" bestFit="1" customWidth="1"/>
    <col min="10" max="10" width="10.28515625" style="127" bestFit="1" customWidth="1"/>
    <col min="11" max="16384" width="9.140625" style="119"/>
  </cols>
  <sheetData>
    <row r="1" spans="1:14" ht="25.5">
      <c r="A1" s="19" t="s">
        <v>0</v>
      </c>
      <c r="B1" s="19" t="s">
        <v>36</v>
      </c>
      <c r="C1" s="19" t="s">
        <v>1</v>
      </c>
      <c r="D1" s="117" t="s">
        <v>67</v>
      </c>
      <c r="E1" s="117" t="s">
        <v>3</v>
      </c>
      <c r="F1" s="117" t="s">
        <v>68</v>
      </c>
      <c r="G1" s="118" t="s">
        <v>69</v>
      </c>
      <c r="H1" s="118" t="s">
        <v>70</v>
      </c>
      <c r="J1" s="120" t="s">
        <v>145</v>
      </c>
      <c r="K1" s="119" t="s">
        <v>393</v>
      </c>
      <c r="L1" s="119" t="s">
        <v>316</v>
      </c>
      <c r="N1" s="119" t="s">
        <v>74</v>
      </c>
    </row>
    <row r="2" spans="1:14" ht="114.75">
      <c r="A2" s="23">
        <v>1</v>
      </c>
      <c r="B2" s="131">
        <v>300008142010</v>
      </c>
      <c r="C2" s="10" t="s">
        <v>408</v>
      </c>
      <c r="D2" s="121" t="s">
        <v>409</v>
      </c>
      <c r="E2" s="21" t="s">
        <v>75</v>
      </c>
      <c r="F2" s="23">
        <v>4</v>
      </c>
      <c r="G2" s="130">
        <f>I2*80*1.3</f>
        <v>43680</v>
      </c>
      <c r="H2" s="123">
        <f>G2*F2</f>
        <v>174720</v>
      </c>
      <c r="I2" s="124">
        <v>420</v>
      </c>
      <c r="J2" s="125">
        <v>325</v>
      </c>
      <c r="K2" s="132">
        <f>1800/6.7</f>
        <v>268.65671641791045</v>
      </c>
    </row>
    <row r="3" spans="1:14">
      <c r="A3" s="23">
        <v>2</v>
      </c>
      <c r="B3" s="397" t="s">
        <v>76</v>
      </c>
      <c r="C3" s="397"/>
      <c r="D3" s="397"/>
      <c r="E3" s="397"/>
      <c r="F3" s="397"/>
      <c r="G3" s="397"/>
      <c r="H3" s="126">
        <f>SUM(H2:H2)</f>
        <v>174720</v>
      </c>
    </row>
    <row r="4" spans="1:14">
      <c r="A4" s="23">
        <v>3</v>
      </c>
      <c r="B4" s="397" t="s">
        <v>410</v>
      </c>
      <c r="C4" s="397"/>
      <c r="D4" s="397"/>
      <c r="E4" s="397"/>
      <c r="F4" s="397"/>
      <c r="G4" s="397"/>
      <c r="H4" s="126">
        <f>H3*18%</f>
        <v>31449.599999999999</v>
      </c>
    </row>
    <row r="5" spans="1:14">
      <c r="A5" s="23">
        <v>4</v>
      </c>
      <c r="B5" s="397" t="s">
        <v>79</v>
      </c>
      <c r="C5" s="397"/>
      <c r="D5" s="397"/>
      <c r="E5" s="397"/>
      <c r="F5" s="397"/>
      <c r="G5" s="397"/>
      <c r="H5" s="126">
        <f>SUM(H3:H4)</f>
        <v>206169.60000000001</v>
      </c>
    </row>
    <row r="6" spans="1:14">
      <c r="A6" s="398"/>
      <c r="B6" s="399"/>
      <c r="C6" s="399"/>
      <c r="D6" s="399"/>
      <c r="E6" s="399"/>
      <c r="F6" s="399"/>
      <c r="G6" s="399"/>
      <c r="H6" s="400"/>
    </row>
    <row r="7" spans="1:14" ht="153" customHeight="1">
      <c r="A7" s="128" t="s">
        <v>80</v>
      </c>
      <c r="B7" s="360" t="s">
        <v>411</v>
      </c>
      <c r="C7" s="360"/>
      <c r="D7" s="360"/>
      <c r="E7" s="360"/>
      <c r="F7" s="360"/>
      <c r="G7" s="360"/>
      <c r="H7" s="361"/>
    </row>
  </sheetData>
  <mergeCells count="5">
    <mergeCell ref="B3:G3"/>
    <mergeCell ref="B4:G4"/>
    <mergeCell ref="B5:G5"/>
    <mergeCell ref="A6:H6"/>
    <mergeCell ref="B7:H7"/>
  </mergeCells>
  <pageMargins left="0.7" right="0.7" top="0.75" bottom="0.75" header="0.3" footer="0.3"/>
  <pageSetup orientation="portrait" horizontalDpi="4294967292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36"/>
  <dimension ref="A1:N7"/>
  <sheetViews>
    <sheetView workbookViewId="0">
      <selection activeCell="J2" sqref="J2"/>
    </sheetView>
  </sheetViews>
  <sheetFormatPr defaultColWidth="9.140625" defaultRowHeight="12.75"/>
  <cols>
    <col min="1" max="1" width="5.85546875" style="119" bestFit="1" customWidth="1"/>
    <col min="2" max="2" width="13.140625" style="119" bestFit="1" customWidth="1"/>
    <col min="3" max="3" width="9.7109375" style="119" bestFit="1" customWidth="1"/>
    <col min="4" max="4" width="46.28515625" style="119" customWidth="1"/>
    <col min="5" max="5" width="5" style="119" bestFit="1" customWidth="1"/>
    <col min="6" max="6" width="6.28515625" style="119" bestFit="1" customWidth="1"/>
    <col min="7" max="7" width="13.42578125" style="129" bestFit="1" customWidth="1"/>
    <col min="8" max="8" width="17" style="129" customWidth="1"/>
    <col min="9" max="9" width="9.28515625" style="119" bestFit="1" customWidth="1"/>
    <col min="10" max="10" width="10.28515625" style="127" bestFit="1" customWidth="1"/>
    <col min="11" max="16384" width="9.140625" style="119"/>
  </cols>
  <sheetData>
    <row r="1" spans="1:14" ht="25.5">
      <c r="A1" s="19" t="s">
        <v>0</v>
      </c>
      <c r="B1" s="19" t="s">
        <v>36</v>
      </c>
      <c r="C1" s="19" t="s">
        <v>1</v>
      </c>
      <c r="D1" s="117" t="s">
        <v>67</v>
      </c>
      <c r="E1" s="117" t="s">
        <v>3</v>
      </c>
      <c r="F1" s="117" t="s">
        <v>68</v>
      </c>
      <c r="G1" s="118" t="s">
        <v>69</v>
      </c>
      <c r="H1" s="118" t="s">
        <v>70</v>
      </c>
      <c r="J1" s="120" t="s">
        <v>469</v>
      </c>
      <c r="K1" s="119" t="s">
        <v>470</v>
      </c>
      <c r="L1" s="119" t="s">
        <v>316</v>
      </c>
      <c r="N1" s="119" t="s">
        <v>74</v>
      </c>
    </row>
    <row r="2" spans="1:14" ht="102">
      <c r="A2" s="23">
        <v>1</v>
      </c>
      <c r="B2" s="131">
        <v>3000085926</v>
      </c>
      <c r="C2" s="10" t="s">
        <v>412</v>
      </c>
      <c r="D2" s="121" t="s">
        <v>413</v>
      </c>
      <c r="E2" s="21" t="s">
        <v>75</v>
      </c>
      <c r="F2" s="23">
        <v>5</v>
      </c>
      <c r="G2" s="130">
        <f>I2*80*1.3</f>
        <v>1872</v>
      </c>
      <c r="H2" s="123">
        <f>G2*F2</f>
        <v>9360</v>
      </c>
      <c r="I2" s="124">
        <v>18</v>
      </c>
      <c r="J2" s="125">
        <v>10</v>
      </c>
      <c r="K2" s="119" t="s">
        <v>471</v>
      </c>
    </row>
    <row r="3" spans="1:14">
      <c r="A3" s="23">
        <v>2</v>
      </c>
      <c r="B3" s="397" t="s">
        <v>76</v>
      </c>
      <c r="C3" s="397"/>
      <c r="D3" s="397"/>
      <c r="E3" s="397"/>
      <c r="F3" s="397"/>
      <c r="G3" s="397"/>
      <c r="H3" s="126">
        <f>SUM(H2:H2)</f>
        <v>9360</v>
      </c>
    </row>
    <row r="4" spans="1:14">
      <c r="A4" s="23">
        <v>3</v>
      </c>
      <c r="B4" s="397" t="s">
        <v>402</v>
      </c>
      <c r="C4" s="397"/>
      <c r="D4" s="397"/>
      <c r="E4" s="397"/>
      <c r="F4" s="397"/>
      <c r="G4" s="397"/>
      <c r="H4" s="126">
        <f>H3*18%</f>
        <v>1684.8</v>
      </c>
    </row>
    <row r="5" spans="1:14">
      <c r="A5" s="23">
        <v>4</v>
      </c>
      <c r="B5" s="397" t="s">
        <v>79</v>
      </c>
      <c r="C5" s="397"/>
      <c r="D5" s="397"/>
      <c r="E5" s="397"/>
      <c r="F5" s="397"/>
      <c r="G5" s="397"/>
      <c r="H5" s="126">
        <f>SUM(H3:H4)</f>
        <v>11044.8</v>
      </c>
    </row>
    <row r="6" spans="1:14">
      <c r="A6" s="398"/>
      <c r="B6" s="399"/>
      <c r="C6" s="399"/>
      <c r="D6" s="399"/>
      <c r="E6" s="399"/>
      <c r="F6" s="399"/>
      <c r="G6" s="399"/>
      <c r="H6" s="400"/>
    </row>
    <row r="7" spans="1:14" ht="153" customHeight="1">
      <c r="A7" s="128" t="s">
        <v>80</v>
      </c>
      <c r="B7" s="360" t="s">
        <v>411</v>
      </c>
      <c r="C7" s="360"/>
      <c r="D7" s="360"/>
      <c r="E7" s="360"/>
      <c r="F7" s="360"/>
      <c r="G7" s="360"/>
      <c r="H7" s="361"/>
    </row>
  </sheetData>
  <mergeCells count="5">
    <mergeCell ref="B3:G3"/>
    <mergeCell ref="B4:G4"/>
    <mergeCell ref="B5:G5"/>
    <mergeCell ref="A6:H6"/>
    <mergeCell ref="B7:H7"/>
  </mergeCells>
  <pageMargins left="0.7" right="0.7" top="0.75" bottom="0.75" header="0.3" footer="0.3"/>
  <pageSetup orientation="portrait" horizontalDpi="4294967292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37"/>
  <dimension ref="A1:O7"/>
  <sheetViews>
    <sheetView workbookViewId="0">
      <selection activeCell="B2" sqref="B2"/>
    </sheetView>
  </sheetViews>
  <sheetFormatPr defaultColWidth="9.140625" defaultRowHeight="12.75"/>
  <cols>
    <col min="1" max="1" width="5.85546875" style="30" bestFit="1" customWidth="1"/>
    <col min="2" max="2" width="12.5703125" style="30" customWidth="1"/>
    <col min="3" max="3" width="17.42578125" style="30" bestFit="1" customWidth="1"/>
    <col min="4" max="4" width="46.28515625" style="30" customWidth="1"/>
    <col min="5" max="6" width="5" style="30" bestFit="1" customWidth="1"/>
    <col min="7" max="7" width="6.28515625" style="30" bestFit="1" customWidth="1"/>
    <col min="8" max="8" width="12.85546875" style="30" bestFit="1" customWidth="1"/>
    <col min="9" max="9" width="18.28515625" style="30" bestFit="1" customWidth="1"/>
    <col min="10" max="10" width="9.28515625" style="30" bestFit="1" customWidth="1"/>
    <col min="11" max="11" width="10.28515625" style="31" bestFit="1" customWidth="1"/>
    <col min="12" max="16384" width="9.140625" style="30"/>
  </cols>
  <sheetData>
    <row r="1" spans="1:15" ht="25.5">
      <c r="A1" s="37" t="s">
        <v>0</v>
      </c>
      <c r="B1" s="37" t="s">
        <v>268</v>
      </c>
      <c r="C1" s="38" t="s">
        <v>82</v>
      </c>
      <c r="D1" s="38" t="s">
        <v>67</v>
      </c>
      <c r="E1" s="38" t="s">
        <v>25</v>
      </c>
      <c r="F1" s="38" t="s">
        <v>3</v>
      </c>
      <c r="G1" s="38" t="s">
        <v>68</v>
      </c>
      <c r="H1" s="39" t="s">
        <v>69</v>
      </c>
      <c r="I1" s="39" t="s">
        <v>70</v>
      </c>
      <c r="K1" s="40" t="s">
        <v>416</v>
      </c>
      <c r="L1" s="30" t="s">
        <v>23</v>
      </c>
      <c r="M1" s="30" t="s">
        <v>73</v>
      </c>
      <c r="O1" s="30" t="s">
        <v>74</v>
      </c>
    </row>
    <row r="2" spans="1:15" ht="89.25">
      <c r="A2" s="41">
        <v>1</v>
      </c>
      <c r="B2" s="41">
        <v>3000075170</v>
      </c>
      <c r="C2" s="41" t="s">
        <v>284</v>
      </c>
      <c r="D2" s="86" t="s">
        <v>417</v>
      </c>
      <c r="E2" s="51">
        <v>8501</v>
      </c>
      <c r="F2" s="43" t="s">
        <v>75</v>
      </c>
      <c r="G2" s="41">
        <v>1</v>
      </c>
      <c r="H2" s="83">
        <f>K2*80*1.33</f>
        <v>76608</v>
      </c>
      <c r="I2" s="45">
        <f>H2*G2</f>
        <v>76608</v>
      </c>
      <c r="J2" s="82"/>
      <c r="K2" s="44">
        <f>1.2*600</f>
        <v>720</v>
      </c>
    </row>
    <row r="3" spans="1:15">
      <c r="A3" s="41">
        <v>2</v>
      </c>
      <c r="B3" s="386" t="s">
        <v>76</v>
      </c>
      <c r="C3" s="386"/>
      <c r="D3" s="386"/>
      <c r="E3" s="386"/>
      <c r="F3" s="386"/>
      <c r="G3" s="386"/>
      <c r="H3" s="386"/>
      <c r="I3" s="46">
        <f>SUM(I2:I2)</f>
        <v>76608</v>
      </c>
    </row>
    <row r="4" spans="1:15">
      <c r="A4" s="41">
        <v>3</v>
      </c>
      <c r="B4" s="386" t="s">
        <v>415</v>
      </c>
      <c r="C4" s="386"/>
      <c r="D4" s="386"/>
      <c r="E4" s="386"/>
      <c r="F4" s="386"/>
      <c r="G4" s="386"/>
      <c r="H4" s="386"/>
      <c r="I4" s="46">
        <f>I3*18%</f>
        <v>13789.439999999999</v>
      </c>
    </row>
    <row r="5" spans="1:15">
      <c r="A5" s="41">
        <v>4</v>
      </c>
      <c r="B5" s="386" t="s">
        <v>79</v>
      </c>
      <c r="C5" s="386"/>
      <c r="D5" s="386"/>
      <c r="E5" s="386"/>
      <c r="F5" s="386"/>
      <c r="G5" s="386"/>
      <c r="H5" s="386"/>
      <c r="I5" s="46">
        <f>SUM(I3:I4)</f>
        <v>90397.440000000002</v>
      </c>
    </row>
    <row r="6" spans="1:15">
      <c r="A6" s="378"/>
      <c r="B6" s="379"/>
      <c r="C6" s="379"/>
      <c r="D6" s="379"/>
      <c r="E6" s="379"/>
      <c r="F6" s="379"/>
      <c r="G6" s="379"/>
      <c r="H6" s="379"/>
      <c r="I6" s="380"/>
    </row>
    <row r="7" spans="1:15" ht="153" customHeight="1">
      <c r="A7" s="47" t="s">
        <v>80</v>
      </c>
      <c r="B7" s="381" t="s">
        <v>466</v>
      </c>
      <c r="C7" s="381"/>
      <c r="D7" s="381"/>
      <c r="E7" s="381"/>
      <c r="F7" s="381"/>
      <c r="G7" s="381"/>
      <c r="H7" s="381"/>
      <c r="I7" s="382"/>
    </row>
  </sheetData>
  <mergeCells count="5">
    <mergeCell ref="B3:H3"/>
    <mergeCell ref="B4:H4"/>
    <mergeCell ref="B5:H5"/>
    <mergeCell ref="A6:I6"/>
    <mergeCell ref="B7:I7"/>
  </mergeCells>
  <pageMargins left="0.7" right="0.7" top="0.75" bottom="0.75" header="0.3" footer="0.3"/>
  <pageSetup orientation="portrait" horizontalDpi="4294967292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38"/>
  <dimension ref="A1:O8"/>
  <sheetViews>
    <sheetView workbookViewId="0">
      <selection activeCell="D3" sqref="D3"/>
    </sheetView>
  </sheetViews>
  <sheetFormatPr defaultColWidth="9.140625" defaultRowHeight="12.75"/>
  <cols>
    <col min="1" max="1" width="5.85546875" style="30" bestFit="1" customWidth="1"/>
    <col min="2" max="2" width="12.5703125" style="30" customWidth="1"/>
    <col min="3" max="3" width="17.42578125" style="30" bestFit="1" customWidth="1"/>
    <col min="4" max="4" width="46.28515625" style="30" customWidth="1"/>
    <col min="5" max="6" width="5" style="30" bestFit="1" customWidth="1"/>
    <col min="7" max="7" width="6.28515625" style="30" bestFit="1" customWidth="1"/>
    <col min="8" max="8" width="12.85546875" style="30" bestFit="1" customWidth="1"/>
    <col min="9" max="9" width="18.28515625" style="30" bestFit="1" customWidth="1"/>
    <col min="10" max="10" width="9.28515625" style="30" bestFit="1" customWidth="1"/>
    <col min="11" max="11" width="10.28515625" style="31" bestFit="1" customWidth="1"/>
    <col min="12" max="16384" width="9.140625" style="30"/>
  </cols>
  <sheetData>
    <row r="1" spans="1:15" ht="25.5">
      <c r="A1" s="37" t="s">
        <v>0</v>
      </c>
      <c r="B1" s="37" t="s">
        <v>268</v>
      </c>
      <c r="C1" s="38" t="s">
        <v>82</v>
      </c>
      <c r="D1" s="38" t="s">
        <v>67</v>
      </c>
      <c r="E1" s="38" t="s">
        <v>25</v>
      </c>
      <c r="F1" s="38" t="s">
        <v>3</v>
      </c>
      <c r="G1" s="38" t="s">
        <v>68</v>
      </c>
      <c r="H1" s="39" t="s">
        <v>69</v>
      </c>
      <c r="I1" s="39" t="s">
        <v>70</v>
      </c>
      <c r="K1" s="40" t="s">
        <v>420</v>
      </c>
      <c r="L1" s="30" t="s">
        <v>117</v>
      </c>
      <c r="M1" s="30" t="s">
        <v>73</v>
      </c>
      <c r="O1" s="30" t="s">
        <v>74</v>
      </c>
    </row>
    <row r="2" spans="1:15" ht="63.75">
      <c r="A2" s="41">
        <v>1</v>
      </c>
      <c r="B2" s="41">
        <v>3000085783</v>
      </c>
      <c r="C2" s="41" t="s">
        <v>418</v>
      </c>
      <c r="D2" s="86" t="s">
        <v>419</v>
      </c>
      <c r="E2" s="51">
        <v>8501</v>
      </c>
      <c r="F2" s="43" t="s">
        <v>75</v>
      </c>
      <c r="G2" s="41">
        <v>10</v>
      </c>
      <c r="H2" s="83">
        <v>1240</v>
      </c>
      <c r="I2" s="45">
        <f>H2*G2</f>
        <v>12400</v>
      </c>
      <c r="J2" s="82"/>
      <c r="K2" s="44">
        <v>400</v>
      </c>
      <c r="L2" s="30">
        <v>5</v>
      </c>
    </row>
    <row r="3" spans="1:15" ht="63.75">
      <c r="A3" s="41">
        <v>2</v>
      </c>
      <c r="B3" s="41">
        <v>3000085739</v>
      </c>
      <c r="C3" s="41" t="s">
        <v>422</v>
      </c>
      <c r="D3" s="86" t="s">
        <v>423</v>
      </c>
      <c r="E3" s="51">
        <v>8501</v>
      </c>
      <c r="F3" s="43" t="s">
        <v>75</v>
      </c>
      <c r="G3" s="41">
        <v>10</v>
      </c>
      <c r="H3" s="83">
        <v>1290</v>
      </c>
      <c r="I3" s="45">
        <f>H3*G3</f>
        <v>12900</v>
      </c>
      <c r="J3" s="82"/>
      <c r="K3" s="44">
        <v>400</v>
      </c>
    </row>
    <row r="4" spans="1:15">
      <c r="A4" s="41">
        <v>3</v>
      </c>
      <c r="B4" s="386" t="s">
        <v>76</v>
      </c>
      <c r="C4" s="386"/>
      <c r="D4" s="386"/>
      <c r="E4" s="386"/>
      <c r="F4" s="386"/>
      <c r="G4" s="386"/>
      <c r="H4" s="386"/>
      <c r="I4" s="46">
        <f>SUM(I2:I3)</f>
        <v>25300</v>
      </c>
    </row>
    <row r="5" spans="1:15">
      <c r="A5" s="41">
        <v>4</v>
      </c>
      <c r="B5" s="386" t="s">
        <v>415</v>
      </c>
      <c r="C5" s="386"/>
      <c r="D5" s="386"/>
      <c r="E5" s="386"/>
      <c r="F5" s="386"/>
      <c r="G5" s="386"/>
      <c r="H5" s="386"/>
      <c r="I5" s="46">
        <f>I4*18%</f>
        <v>4554</v>
      </c>
    </row>
    <row r="6" spans="1:15">
      <c r="A6" s="41">
        <v>5</v>
      </c>
      <c r="B6" s="386" t="s">
        <v>79</v>
      </c>
      <c r="C6" s="386"/>
      <c r="D6" s="386"/>
      <c r="E6" s="386"/>
      <c r="F6" s="386"/>
      <c r="G6" s="386"/>
      <c r="H6" s="386"/>
      <c r="I6" s="46">
        <f>SUM(I4:I5)</f>
        <v>29854</v>
      </c>
    </row>
    <row r="7" spans="1:15">
      <c r="A7" s="378"/>
      <c r="B7" s="379"/>
      <c r="C7" s="379"/>
      <c r="D7" s="379"/>
      <c r="E7" s="379"/>
      <c r="F7" s="379"/>
      <c r="G7" s="379"/>
      <c r="H7" s="379"/>
      <c r="I7" s="380"/>
    </row>
    <row r="8" spans="1:15" ht="153" customHeight="1">
      <c r="A8" s="47" t="s">
        <v>80</v>
      </c>
      <c r="B8" s="381" t="s">
        <v>421</v>
      </c>
      <c r="C8" s="381"/>
      <c r="D8" s="381"/>
      <c r="E8" s="381"/>
      <c r="F8" s="381"/>
      <c r="G8" s="381"/>
      <c r="H8" s="381"/>
      <c r="I8" s="382"/>
    </row>
  </sheetData>
  <mergeCells count="5">
    <mergeCell ref="B4:H4"/>
    <mergeCell ref="B5:H5"/>
    <mergeCell ref="B6:H6"/>
    <mergeCell ref="A7:I7"/>
    <mergeCell ref="B8:I8"/>
  </mergeCells>
  <pageMargins left="0.7" right="0.7" top="0.75" bottom="0.75" header="0.3" footer="0.3"/>
  <pageSetup orientation="portrait" horizontalDpi="4294967292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39"/>
  <dimension ref="A1:O27"/>
  <sheetViews>
    <sheetView topLeftCell="A3" workbookViewId="0">
      <selection activeCell="C6" sqref="C6"/>
    </sheetView>
  </sheetViews>
  <sheetFormatPr defaultColWidth="9.140625" defaultRowHeight="12.75"/>
  <cols>
    <col min="1" max="1" width="5.85546875" style="30" bestFit="1" customWidth="1"/>
    <col min="2" max="2" width="12.5703125" style="30" customWidth="1"/>
    <col min="3" max="3" width="17.42578125" style="30" bestFit="1" customWidth="1"/>
    <col min="4" max="4" width="46.28515625" style="30" customWidth="1"/>
    <col min="5" max="6" width="5" style="30" bestFit="1" customWidth="1"/>
    <col min="7" max="7" width="8.42578125" style="30" bestFit="1" customWidth="1"/>
    <col min="8" max="8" width="12.85546875" style="30" bestFit="1" customWidth="1"/>
    <col min="9" max="9" width="18.28515625" style="30" bestFit="1" customWidth="1"/>
    <col min="10" max="10" width="9.28515625" style="30" bestFit="1" customWidth="1"/>
    <col min="11" max="11" width="10.28515625" style="31" bestFit="1" customWidth="1"/>
    <col min="12" max="16384" width="9.140625" style="30"/>
  </cols>
  <sheetData>
    <row r="1" spans="1:15" ht="25.5">
      <c r="A1" s="37" t="s">
        <v>0</v>
      </c>
      <c r="B1" s="37" t="s">
        <v>268</v>
      </c>
      <c r="C1" s="38" t="s">
        <v>82</v>
      </c>
      <c r="D1" s="38" t="s">
        <v>67</v>
      </c>
      <c r="E1" s="38" t="s">
        <v>25</v>
      </c>
      <c r="F1" s="38" t="s">
        <v>3</v>
      </c>
      <c r="G1" s="38" t="s">
        <v>68</v>
      </c>
      <c r="H1" s="39" t="s">
        <v>69</v>
      </c>
      <c r="I1" s="39" t="s">
        <v>70</v>
      </c>
      <c r="K1" s="40" t="s">
        <v>420</v>
      </c>
      <c r="L1" s="30" t="s">
        <v>117</v>
      </c>
      <c r="M1" s="30" t="s">
        <v>73</v>
      </c>
      <c r="O1" s="30" t="s">
        <v>74</v>
      </c>
    </row>
    <row r="2" spans="1:15" ht="51">
      <c r="A2" s="41">
        <v>1</v>
      </c>
      <c r="B2" s="41">
        <v>3000081552</v>
      </c>
      <c r="C2" s="41" t="s">
        <v>425</v>
      </c>
      <c r="D2" s="86" t="s">
        <v>444</v>
      </c>
      <c r="E2" s="51">
        <v>8536</v>
      </c>
      <c r="F2" s="43" t="s">
        <v>75</v>
      </c>
      <c r="G2" s="134">
        <v>10</v>
      </c>
      <c r="H2" s="83">
        <f>J2*80*1.35</f>
        <v>0</v>
      </c>
      <c r="I2" s="45">
        <f t="shared" ref="I2:I15" si="0">H2*G2</f>
        <v>0</v>
      </c>
      <c r="J2" s="82"/>
      <c r="K2" s="44"/>
    </row>
    <row r="3" spans="1:15" ht="38.25">
      <c r="A3" s="41">
        <v>2</v>
      </c>
      <c r="B3" s="41">
        <v>3000081719</v>
      </c>
      <c r="C3" s="41" t="s">
        <v>426</v>
      </c>
      <c r="D3" s="86" t="s">
        <v>445</v>
      </c>
      <c r="E3" s="51">
        <v>8536</v>
      </c>
      <c r="F3" s="43" t="s">
        <v>75</v>
      </c>
      <c r="G3" s="134">
        <v>50</v>
      </c>
      <c r="H3" s="83">
        <f t="shared" ref="H3:H22" si="1">J3*80*1.35</f>
        <v>0</v>
      </c>
      <c r="I3" s="45">
        <f t="shared" si="0"/>
        <v>0</v>
      </c>
      <c r="J3" s="82"/>
      <c r="K3" s="44"/>
    </row>
    <row r="4" spans="1:15" ht="38.25">
      <c r="A4" s="41">
        <v>3</v>
      </c>
      <c r="B4" s="41">
        <v>3000082767</v>
      </c>
      <c r="C4" s="41" t="s">
        <v>427</v>
      </c>
      <c r="D4" s="86" t="s">
        <v>446</v>
      </c>
      <c r="E4" s="51">
        <v>8536</v>
      </c>
      <c r="F4" s="43" t="s">
        <v>75</v>
      </c>
      <c r="G4" s="134">
        <v>2</v>
      </c>
      <c r="H4" s="83">
        <f t="shared" si="1"/>
        <v>0</v>
      </c>
      <c r="I4" s="45">
        <f t="shared" si="0"/>
        <v>0</v>
      </c>
      <c r="J4" s="82"/>
      <c r="K4" s="44"/>
    </row>
    <row r="5" spans="1:15" ht="51">
      <c r="A5" s="41">
        <v>4</v>
      </c>
      <c r="B5" s="41">
        <v>4000069266</v>
      </c>
      <c r="C5" s="41" t="s">
        <v>428</v>
      </c>
      <c r="D5" s="86" t="s">
        <v>447</v>
      </c>
      <c r="E5" s="51">
        <v>8536</v>
      </c>
      <c r="F5" s="43" t="s">
        <v>75</v>
      </c>
      <c r="G5" s="134">
        <v>5</v>
      </c>
      <c r="H5" s="83">
        <f t="shared" si="1"/>
        <v>0</v>
      </c>
      <c r="I5" s="45">
        <f t="shared" si="0"/>
        <v>0</v>
      </c>
      <c r="J5" s="82"/>
      <c r="K5" s="44"/>
    </row>
    <row r="6" spans="1:15" ht="89.25">
      <c r="A6" s="41">
        <v>5</v>
      </c>
      <c r="B6" s="41">
        <v>3000081489</v>
      </c>
      <c r="C6" s="41" t="s">
        <v>215</v>
      </c>
      <c r="D6" s="86" t="s">
        <v>448</v>
      </c>
      <c r="E6" s="51">
        <v>8536</v>
      </c>
      <c r="F6" s="43" t="s">
        <v>75</v>
      </c>
      <c r="G6" s="134">
        <v>3</v>
      </c>
      <c r="H6" s="83">
        <f t="shared" si="1"/>
        <v>0</v>
      </c>
      <c r="I6" s="45">
        <f t="shared" si="0"/>
        <v>0</v>
      </c>
      <c r="J6" s="82"/>
      <c r="K6" s="44"/>
    </row>
    <row r="7" spans="1:15" ht="89.25">
      <c r="A7" s="41">
        <v>6</v>
      </c>
      <c r="B7" s="41">
        <v>3000081489</v>
      </c>
      <c r="C7" s="41" t="s">
        <v>216</v>
      </c>
      <c r="D7" s="86" t="s">
        <v>449</v>
      </c>
      <c r="E7" s="51">
        <v>8536</v>
      </c>
      <c r="F7" s="43" t="s">
        <v>75</v>
      </c>
      <c r="G7" s="134">
        <v>3</v>
      </c>
      <c r="H7" s="83">
        <f t="shared" si="1"/>
        <v>0</v>
      </c>
      <c r="I7" s="45">
        <f t="shared" si="0"/>
        <v>0</v>
      </c>
      <c r="J7" s="82"/>
      <c r="K7" s="44"/>
    </row>
    <row r="8" spans="1:15" ht="51">
      <c r="A8" s="41">
        <v>7</v>
      </c>
      <c r="B8" s="41">
        <v>3000083816</v>
      </c>
      <c r="C8" s="41" t="s">
        <v>429</v>
      </c>
      <c r="D8" s="86" t="s">
        <v>450</v>
      </c>
      <c r="E8" s="51">
        <v>8536</v>
      </c>
      <c r="F8" s="43" t="s">
        <v>75</v>
      </c>
      <c r="G8" s="134">
        <v>30</v>
      </c>
      <c r="H8" s="83">
        <f t="shared" si="1"/>
        <v>0</v>
      </c>
      <c r="I8" s="45">
        <f t="shared" si="0"/>
        <v>0</v>
      </c>
      <c r="J8" s="82"/>
      <c r="K8" s="44"/>
    </row>
    <row r="9" spans="1:15" ht="38.25">
      <c r="A9" s="41">
        <v>8</v>
      </c>
      <c r="B9" s="41">
        <v>3000082796</v>
      </c>
      <c r="C9" s="41" t="s">
        <v>430</v>
      </c>
      <c r="D9" s="86" t="s">
        <v>451</v>
      </c>
      <c r="E9" s="51">
        <v>8536</v>
      </c>
      <c r="F9" s="43" t="s">
        <v>465</v>
      </c>
      <c r="G9" s="134">
        <v>2000</v>
      </c>
      <c r="H9" s="83">
        <f t="shared" si="1"/>
        <v>0</v>
      </c>
      <c r="I9" s="45">
        <f t="shared" si="0"/>
        <v>0</v>
      </c>
      <c r="J9" s="82"/>
      <c r="K9" s="44"/>
    </row>
    <row r="10" spans="1:15" ht="63.75">
      <c r="A10" s="41">
        <v>9</v>
      </c>
      <c r="B10" s="41">
        <v>3000084385</v>
      </c>
      <c r="C10" s="41" t="s">
        <v>431</v>
      </c>
      <c r="D10" s="86" t="s">
        <v>452</v>
      </c>
      <c r="E10" s="51">
        <v>8536</v>
      </c>
      <c r="F10" s="43" t="s">
        <v>75</v>
      </c>
      <c r="G10" s="134">
        <v>18</v>
      </c>
      <c r="H10" s="83">
        <f t="shared" si="1"/>
        <v>0</v>
      </c>
      <c r="I10" s="45">
        <f t="shared" si="0"/>
        <v>0</v>
      </c>
      <c r="J10" s="82"/>
      <c r="K10" s="44"/>
    </row>
    <row r="11" spans="1:15" ht="63.75">
      <c r="A11" s="41">
        <v>10</v>
      </c>
      <c r="B11" s="41">
        <v>4000069318</v>
      </c>
      <c r="C11" s="41" t="s">
        <v>432</v>
      </c>
      <c r="D11" s="86" t="s">
        <v>453</v>
      </c>
      <c r="E11" s="51">
        <v>8536</v>
      </c>
      <c r="F11" s="43" t="s">
        <v>75</v>
      </c>
      <c r="G11" s="134">
        <v>10</v>
      </c>
      <c r="H11" s="83">
        <f t="shared" si="1"/>
        <v>0</v>
      </c>
      <c r="I11" s="45">
        <f t="shared" si="0"/>
        <v>0</v>
      </c>
      <c r="J11" s="82"/>
      <c r="K11" s="44"/>
    </row>
    <row r="12" spans="1:15" ht="38.25">
      <c r="A12" s="41">
        <v>11</v>
      </c>
      <c r="B12" s="41">
        <v>3000084497</v>
      </c>
      <c r="C12" s="41" t="s">
        <v>433</v>
      </c>
      <c r="D12" s="86" t="s">
        <v>454</v>
      </c>
      <c r="E12" s="51">
        <v>8536</v>
      </c>
      <c r="F12" s="43" t="s">
        <v>75</v>
      </c>
      <c r="G12" s="134">
        <v>12</v>
      </c>
      <c r="H12" s="83">
        <f t="shared" si="1"/>
        <v>0</v>
      </c>
      <c r="I12" s="45">
        <f t="shared" si="0"/>
        <v>0</v>
      </c>
      <c r="J12" s="82"/>
      <c r="K12" s="44"/>
    </row>
    <row r="13" spans="1:15" ht="25.5">
      <c r="A13" s="41">
        <v>12</v>
      </c>
      <c r="B13" s="41">
        <v>3000084384</v>
      </c>
      <c r="C13" s="41" t="s">
        <v>434</v>
      </c>
      <c r="D13" s="86" t="s">
        <v>455</v>
      </c>
      <c r="E13" s="51">
        <v>8536</v>
      </c>
      <c r="F13" s="43" t="s">
        <v>75</v>
      </c>
      <c r="G13" s="134">
        <v>6</v>
      </c>
      <c r="H13" s="83">
        <f t="shared" si="1"/>
        <v>0</v>
      </c>
      <c r="I13" s="45">
        <f t="shared" si="0"/>
        <v>0</v>
      </c>
      <c r="J13" s="82"/>
      <c r="K13" s="44"/>
    </row>
    <row r="14" spans="1:15" ht="25.5">
      <c r="A14" s="41">
        <v>13</v>
      </c>
      <c r="B14" s="41">
        <v>3000084384</v>
      </c>
      <c r="C14" s="41" t="s">
        <v>435</v>
      </c>
      <c r="D14" s="86" t="s">
        <v>456</v>
      </c>
      <c r="E14" s="51">
        <v>8536</v>
      </c>
      <c r="F14" s="43" t="s">
        <v>75</v>
      </c>
      <c r="G14" s="134">
        <v>6</v>
      </c>
      <c r="H14" s="83">
        <f t="shared" si="1"/>
        <v>0</v>
      </c>
      <c r="I14" s="45">
        <f t="shared" si="0"/>
        <v>0</v>
      </c>
      <c r="J14" s="82"/>
      <c r="K14" s="44"/>
    </row>
    <row r="15" spans="1:15" ht="76.5">
      <c r="A15" s="41">
        <v>14</v>
      </c>
      <c r="B15" s="41">
        <v>3000084384</v>
      </c>
      <c r="C15" s="41" t="s">
        <v>436</v>
      </c>
      <c r="D15" s="86" t="s">
        <v>457</v>
      </c>
      <c r="E15" s="51">
        <v>8536</v>
      </c>
      <c r="F15" s="43" t="s">
        <v>75</v>
      </c>
      <c r="G15" s="134">
        <v>6</v>
      </c>
      <c r="H15" s="83">
        <f t="shared" si="1"/>
        <v>0</v>
      </c>
      <c r="I15" s="45">
        <f t="shared" si="0"/>
        <v>0</v>
      </c>
      <c r="J15" s="82"/>
      <c r="K15" s="44"/>
    </row>
    <row r="16" spans="1:15" ht="102">
      <c r="A16" s="41">
        <v>15</v>
      </c>
      <c r="B16" s="41">
        <v>3000082271</v>
      </c>
      <c r="C16" s="41" t="s">
        <v>437</v>
      </c>
      <c r="D16" s="86" t="s">
        <v>458</v>
      </c>
      <c r="E16" s="51">
        <v>8536</v>
      </c>
      <c r="F16" s="43" t="s">
        <v>75</v>
      </c>
      <c r="G16" s="134">
        <v>500</v>
      </c>
      <c r="H16" s="83">
        <f t="shared" si="1"/>
        <v>0</v>
      </c>
      <c r="I16" s="45">
        <f t="shared" ref="I16:I22" si="2">H16*G16</f>
        <v>0</v>
      </c>
      <c r="J16" s="82"/>
      <c r="K16" s="44"/>
    </row>
    <row r="17" spans="1:9" ht="89.25">
      <c r="A17" s="41">
        <v>16</v>
      </c>
      <c r="B17" s="41">
        <v>3000082271</v>
      </c>
      <c r="C17" s="41" t="s">
        <v>438</v>
      </c>
      <c r="D17" s="86" t="s">
        <v>459</v>
      </c>
      <c r="E17" s="51">
        <v>8536</v>
      </c>
      <c r="F17" s="43" t="s">
        <v>75</v>
      </c>
      <c r="G17" s="134">
        <v>1</v>
      </c>
      <c r="H17" s="83">
        <f t="shared" si="1"/>
        <v>0</v>
      </c>
      <c r="I17" s="45">
        <f t="shared" si="2"/>
        <v>0</v>
      </c>
    </row>
    <row r="18" spans="1:9" ht="76.5">
      <c r="A18" s="41">
        <v>17</v>
      </c>
      <c r="B18" s="41">
        <v>3000082225</v>
      </c>
      <c r="C18" s="41" t="s">
        <v>439</v>
      </c>
      <c r="D18" s="86" t="s">
        <v>460</v>
      </c>
      <c r="E18" s="51">
        <v>8536</v>
      </c>
      <c r="F18" s="43" t="s">
        <v>75</v>
      </c>
      <c r="G18" s="134">
        <v>50</v>
      </c>
      <c r="H18" s="83">
        <f t="shared" si="1"/>
        <v>0</v>
      </c>
      <c r="I18" s="45">
        <f t="shared" si="2"/>
        <v>0</v>
      </c>
    </row>
    <row r="19" spans="1:9" ht="76.5">
      <c r="A19" s="41">
        <v>18</v>
      </c>
      <c r="B19" s="41">
        <v>3000082271</v>
      </c>
      <c r="C19" s="41" t="s">
        <v>440</v>
      </c>
      <c r="D19" s="86" t="s">
        <v>461</v>
      </c>
      <c r="E19" s="51">
        <v>8536</v>
      </c>
      <c r="F19" s="43" t="s">
        <v>75</v>
      </c>
      <c r="G19" s="134">
        <v>2</v>
      </c>
      <c r="H19" s="83">
        <f t="shared" si="1"/>
        <v>0</v>
      </c>
      <c r="I19" s="45">
        <f t="shared" si="2"/>
        <v>0</v>
      </c>
    </row>
    <row r="20" spans="1:9" ht="38.25">
      <c r="A20" s="41">
        <v>19</v>
      </c>
      <c r="B20" s="41">
        <v>3000082271</v>
      </c>
      <c r="C20" s="41" t="s">
        <v>441</v>
      </c>
      <c r="D20" s="86" t="s">
        <v>462</v>
      </c>
      <c r="E20" s="51">
        <v>8536</v>
      </c>
      <c r="F20" s="43" t="s">
        <v>75</v>
      </c>
      <c r="G20" s="134">
        <v>2</v>
      </c>
      <c r="H20" s="83">
        <f t="shared" si="1"/>
        <v>0</v>
      </c>
      <c r="I20" s="45">
        <f t="shared" si="2"/>
        <v>0</v>
      </c>
    </row>
    <row r="21" spans="1:9" ht="89.25">
      <c r="A21" s="41">
        <v>20</v>
      </c>
      <c r="B21" s="41">
        <v>3000082271</v>
      </c>
      <c r="C21" s="41" t="s">
        <v>442</v>
      </c>
      <c r="D21" s="86" t="s">
        <v>463</v>
      </c>
      <c r="E21" s="51">
        <v>8536</v>
      </c>
      <c r="F21" s="43" t="s">
        <v>75</v>
      </c>
      <c r="G21" s="134">
        <v>2</v>
      </c>
      <c r="H21" s="83">
        <f t="shared" si="1"/>
        <v>0</v>
      </c>
      <c r="I21" s="45">
        <f t="shared" si="2"/>
        <v>0</v>
      </c>
    </row>
    <row r="22" spans="1:9" ht="38.25">
      <c r="A22" s="41">
        <v>21</v>
      </c>
      <c r="B22" s="41">
        <v>3000084517</v>
      </c>
      <c r="C22" s="41" t="s">
        <v>443</v>
      </c>
      <c r="D22" s="86" t="s">
        <v>464</v>
      </c>
      <c r="E22" s="51">
        <v>8536</v>
      </c>
      <c r="F22" s="43" t="s">
        <v>75</v>
      </c>
      <c r="G22" s="134">
        <v>20</v>
      </c>
      <c r="H22" s="83">
        <f t="shared" si="1"/>
        <v>0</v>
      </c>
      <c r="I22" s="45">
        <f t="shared" si="2"/>
        <v>0</v>
      </c>
    </row>
    <row r="23" spans="1:9">
      <c r="A23" s="41">
        <v>3</v>
      </c>
      <c r="B23" s="386" t="s">
        <v>76</v>
      </c>
      <c r="C23" s="386"/>
      <c r="D23" s="386"/>
      <c r="E23" s="386"/>
      <c r="F23" s="386"/>
      <c r="G23" s="386"/>
      <c r="H23" s="386"/>
      <c r="I23" s="46">
        <f>SUM(I2:I22)</f>
        <v>0</v>
      </c>
    </row>
    <row r="24" spans="1:9">
      <c r="A24" s="41">
        <v>4</v>
      </c>
      <c r="B24" s="386" t="s">
        <v>415</v>
      </c>
      <c r="C24" s="386"/>
      <c r="D24" s="386"/>
      <c r="E24" s="386"/>
      <c r="F24" s="386"/>
      <c r="G24" s="386"/>
      <c r="H24" s="386"/>
      <c r="I24" s="46">
        <f>I23*18%</f>
        <v>0</v>
      </c>
    </row>
    <row r="25" spans="1:9">
      <c r="A25" s="41">
        <v>5</v>
      </c>
      <c r="B25" s="386" t="s">
        <v>79</v>
      </c>
      <c r="C25" s="386"/>
      <c r="D25" s="386"/>
      <c r="E25" s="386"/>
      <c r="F25" s="386"/>
      <c r="G25" s="386"/>
      <c r="H25" s="386"/>
      <c r="I25" s="46">
        <f>SUM(I23:I24)</f>
        <v>0</v>
      </c>
    </row>
    <row r="26" spans="1:9">
      <c r="A26" s="378"/>
      <c r="B26" s="379"/>
      <c r="C26" s="379"/>
      <c r="D26" s="379"/>
      <c r="E26" s="379"/>
      <c r="F26" s="379"/>
      <c r="G26" s="379"/>
      <c r="H26" s="379"/>
      <c r="I26" s="380"/>
    </row>
    <row r="27" spans="1:9" ht="153" customHeight="1">
      <c r="A27" s="47" t="s">
        <v>80</v>
      </c>
      <c r="B27" s="381" t="s">
        <v>421</v>
      </c>
      <c r="C27" s="381"/>
      <c r="D27" s="381"/>
      <c r="E27" s="381"/>
      <c r="F27" s="381"/>
      <c r="G27" s="381"/>
      <c r="H27" s="381"/>
      <c r="I27" s="382"/>
    </row>
  </sheetData>
  <mergeCells count="5">
    <mergeCell ref="B23:H23"/>
    <mergeCell ref="B24:H24"/>
    <mergeCell ref="B25:H25"/>
    <mergeCell ref="A26:I26"/>
    <mergeCell ref="B27:I27"/>
  </mergeCells>
  <pageMargins left="0.7" right="0.7" top="0.75" bottom="0.75" header="0.3" footer="0.3"/>
  <pageSetup orientation="portrait" horizontalDpi="4294967292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40"/>
  <dimension ref="A1:O7"/>
  <sheetViews>
    <sheetView workbookViewId="0">
      <selection activeCell="B2" sqref="B2"/>
    </sheetView>
  </sheetViews>
  <sheetFormatPr defaultColWidth="9.140625" defaultRowHeight="12.75"/>
  <cols>
    <col min="1" max="1" width="5.85546875" style="30" bestFit="1" customWidth="1"/>
    <col min="2" max="2" width="12.5703125" style="30" customWidth="1"/>
    <col min="3" max="3" width="17.42578125" style="30" bestFit="1" customWidth="1"/>
    <col min="4" max="4" width="46.28515625" style="30" customWidth="1"/>
    <col min="5" max="6" width="5" style="30" bestFit="1" customWidth="1"/>
    <col min="7" max="7" width="6.28515625" style="30" bestFit="1" customWidth="1"/>
    <col min="8" max="8" width="12.85546875" style="30" bestFit="1" customWidth="1"/>
    <col min="9" max="9" width="18.28515625" style="30" bestFit="1" customWidth="1"/>
    <col min="10" max="10" width="9.28515625" style="30" bestFit="1" customWidth="1"/>
    <col min="11" max="11" width="10.28515625" style="31" bestFit="1" customWidth="1"/>
    <col min="12" max="16384" width="9.140625" style="30"/>
  </cols>
  <sheetData>
    <row r="1" spans="1:15" ht="25.5">
      <c r="A1" s="37" t="s">
        <v>0</v>
      </c>
      <c r="B1" s="37" t="s">
        <v>268</v>
      </c>
      <c r="C1" s="38" t="s">
        <v>82</v>
      </c>
      <c r="D1" s="38" t="s">
        <v>67</v>
      </c>
      <c r="E1" s="38" t="s">
        <v>25</v>
      </c>
      <c r="F1" s="38" t="s">
        <v>3</v>
      </c>
      <c r="G1" s="38" t="s">
        <v>68</v>
      </c>
      <c r="H1" s="39" t="s">
        <v>69</v>
      </c>
      <c r="I1" s="39" t="s">
        <v>70</v>
      </c>
      <c r="K1" s="40"/>
      <c r="L1" s="30" t="s">
        <v>23</v>
      </c>
      <c r="M1" s="30" t="s">
        <v>73</v>
      </c>
      <c r="O1" s="30" t="s">
        <v>74</v>
      </c>
    </row>
    <row r="2" spans="1:15" ht="76.5">
      <c r="A2" s="41">
        <v>1</v>
      </c>
      <c r="B2" s="41">
        <v>3000086774</v>
      </c>
      <c r="C2" s="41" t="s">
        <v>467</v>
      </c>
      <c r="D2" s="86" t="s">
        <v>468</v>
      </c>
      <c r="E2" s="51">
        <v>9031</v>
      </c>
      <c r="F2" s="43" t="s">
        <v>75</v>
      </c>
      <c r="G2" s="41">
        <v>4</v>
      </c>
      <c r="H2" s="83">
        <v>9870</v>
      </c>
      <c r="I2" s="45">
        <f>H2*G2</f>
        <v>39480</v>
      </c>
      <c r="J2" s="82"/>
      <c r="K2" s="44"/>
    </row>
    <row r="3" spans="1:15">
      <c r="A3" s="41">
        <v>2</v>
      </c>
      <c r="B3" s="386" t="s">
        <v>76</v>
      </c>
      <c r="C3" s="386"/>
      <c r="D3" s="386"/>
      <c r="E3" s="386"/>
      <c r="F3" s="386"/>
      <c r="G3" s="386"/>
      <c r="H3" s="386"/>
      <c r="I3" s="46">
        <f>SUM(I2:I2)</f>
        <v>39480</v>
      </c>
    </row>
    <row r="4" spans="1:15">
      <c r="A4" s="41">
        <v>3</v>
      </c>
      <c r="B4" s="386" t="s">
        <v>158</v>
      </c>
      <c r="C4" s="386"/>
      <c r="D4" s="386"/>
      <c r="E4" s="386"/>
      <c r="F4" s="386"/>
      <c r="G4" s="386"/>
      <c r="H4" s="386"/>
      <c r="I4" s="46">
        <f>I3*18%</f>
        <v>7106.4</v>
      </c>
    </row>
    <row r="5" spans="1:15">
      <c r="A5" s="41">
        <v>4</v>
      </c>
      <c r="B5" s="386" t="s">
        <v>79</v>
      </c>
      <c r="C5" s="386"/>
      <c r="D5" s="386"/>
      <c r="E5" s="386"/>
      <c r="F5" s="386"/>
      <c r="G5" s="386"/>
      <c r="H5" s="386"/>
      <c r="I5" s="46">
        <f>SUM(I3:I4)</f>
        <v>46586.400000000001</v>
      </c>
    </row>
    <row r="6" spans="1:15">
      <c r="A6" s="378"/>
      <c r="B6" s="379"/>
      <c r="C6" s="379"/>
      <c r="D6" s="379"/>
      <c r="E6" s="379"/>
      <c r="F6" s="379"/>
      <c r="G6" s="379"/>
      <c r="H6" s="379"/>
      <c r="I6" s="380"/>
    </row>
    <row r="7" spans="1:15" ht="153" customHeight="1">
      <c r="A7" s="47" t="s">
        <v>80</v>
      </c>
      <c r="B7" s="381" t="s">
        <v>466</v>
      </c>
      <c r="C7" s="381"/>
      <c r="D7" s="381"/>
      <c r="E7" s="381"/>
      <c r="F7" s="381"/>
      <c r="G7" s="381"/>
      <c r="H7" s="381"/>
      <c r="I7" s="382"/>
    </row>
  </sheetData>
  <mergeCells count="5">
    <mergeCell ref="B3:H3"/>
    <mergeCell ref="B4:H4"/>
    <mergeCell ref="B5:H5"/>
    <mergeCell ref="A6:I6"/>
    <mergeCell ref="B7:I7"/>
  </mergeCells>
  <pageMargins left="0.7" right="0.7" top="0.75" bottom="0.75" header="0.3" footer="0.3"/>
  <pageSetup orientation="portrait" horizontalDpi="4294967292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41"/>
  <dimension ref="A1:N12"/>
  <sheetViews>
    <sheetView topLeftCell="A3" workbookViewId="0">
      <selection activeCell="C7" sqref="C7"/>
    </sheetView>
  </sheetViews>
  <sheetFormatPr defaultColWidth="9.140625" defaultRowHeight="12.75"/>
  <cols>
    <col min="1" max="1" width="5.85546875" style="30" bestFit="1" customWidth="1"/>
    <col min="2" max="2" width="12.5703125" style="30" customWidth="1"/>
    <col min="3" max="3" width="17.42578125" style="30" bestFit="1" customWidth="1"/>
    <col min="4" max="4" width="46.28515625" style="30" customWidth="1"/>
    <col min="5" max="5" width="5" style="30" bestFit="1" customWidth="1"/>
    <col min="6" max="6" width="6.28515625" style="30" bestFit="1" customWidth="1"/>
    <col min="7" max="7" width="12.85546875" style="30" bestFit="1" customWidth="1"/>
    <col min="8" max="8" width="18.28515625" style="30" bestFit="1" customWidth="1"/>
    <col min="9" max="9" width="9.28515625" style="30" bestFit="1" customWidth="1"/>
    <col min="10" max="10" width="10.28515625" style="31" bestFit="1" customWidth="1"/>
    <col min="11" max="16384" width="9.140625" style="30"/>
  </cols>
  <sheetData>
    <row r="1" spans="1:14" ht="25.5">
      <c r="A1" s="37" t="s">
        <v>0</v>
      </c>
      <c r="B1" s="37" t="s">
        <v>268</v>
      </c>
      <c r="C1" s="38" t="s">
        <v>82</v>
      </c>
      <c r="D1" s="38" t="s">
        <v>67</v>
      </c>
      <c r="E1" s="38" t="s">
        <v>3</v>
      </c>
      <c r="F1" s="38" t="s">
        <v>68</v>
      </c>
      <c r="G1" s="39" t="s">
        <v>69</v>
      </c>
      <c r="H1" s="39" t="s">
        <v>70</v>
      </c>
      <c r="J1" s="40"/>
      <c r="K1" s="30" t="s">
        <v>23</v>
      </c>
      <c r="L1" s="30" t="s">
        <v>73</v>
      </c>
      <c r="N1" s="30" t="s">
        <v>74</v>
      </c>
    </row>
    <row r="2" spans="1:14" ht="36">
      <c r="A2" s="41">
        <v>1</v>
      </c>
      <c r="B2" s="41">
        <v>3000084708</v>
      </c>
      <c r="C2" s="135" t="s">
        <v>472</v>
      </c>
      <c r="D2" s="137" t="s">
        <v>478</v>
      </c>
      <c r="E2" s="51" t="s">
        <v>75</v>
      </c>
      <c r="F2" s="41">
        <v>1</v>
      </c>
      <c r="G2" s="83"/>
      <c r="H2" s="45">
        <f t="shared" ref="H2:H7" si="0">G2*F2</f>
        <v>0</v>
      </c>
      <c r="I2" s="82"/>
      <c r="J2" s="44"/>
    </row>
    <row r="3" spans="1:14" ht="72">
      <c r="A3" s="41">
        <v>2</v>
      </c>
      <c r="B3" s="41">
        <v>3000084708</v>
      </c>
      <c r="C3" s="135" t="s">
        <v>473</v>
      </c>
      <c r="D3" s="137" t="s">
        <v>479</v>
      </c>
      <c r="E3" s="51" t="s">
        <v>75</v>
      </c>
      <c r="F3" s="41">
        <v>1</v>
      </c>
      <c r="G3" s="83"/>
      <c r="H3" s="45">
        <f t="shared" si="0"/>
        <v>0</v>
      </c>
      <c r="I3" s="82"/>
      <c r="J3" s="44"/>
    </row>
    <row r="4" spans="1:14" ht="96">
      <c r="A4" s="41">
        <v>3</v>
      </c>
      <c r="B4" s="41">
        <v>3000084708</v>
      </c>
      <c r="C4" s="135" t="s">
        <v>474</v>
      </c>
      <c r="D4" s="137" t="s">
        <v>480</v>
      </c>
      <c r="E4" s="51" t="s">
        <v>75</v>
      </c>
      <c r="F4" s="41">
        <v>1</v>
      </c>
      <c r="G4" s="83"/>
      <c r="H4" s="45">
        <f t="shared" si="0"/>
        <v>0</v>
      </c>
      <c r="I4" s="82"/>
      <c r="J4" s="44"/>
    </row>
    <row r="5" spans="1:14" ht="48">
      <c r="A5" s="41">
        <v>4</v>
      </c>
      <c r="B5" s="41">
        <v>3000084708</v>
      </c>
      <c r="C5" s="135" t="s">
        <v>475</v>
      </c>
      <c r="D5" s="137" t="s">
        <v>481</v>
      </c>
      <c r="E5" s="51" t="s">
        <v>75</v>
      </c>
      <c r="F5" s="41">
        <v>3</v>
      </c>
      <c r="G5" s="83"/>
      <c r="H5" s="45">
        <f t="shared" si="0"/>
        <v>0</v>
      </c>
      <c r="I5" s="82"/>
      <c r="J5" s="44"/>
    </row>
    <row r="6" spans="1:14" ht="48">
      <c r="A6" s="41">
        <v>5</v>
      </c>
      <c r="B6" s="41">
        <v>3000084708</v>
      </c>
      <c r="C6" s="136" t="s">
        <v>476</v>
      </c>
      <c r="D6" s="138" t="s">
        <v>482</v>
      </c>
      <c r="E6" s="51" t="s">
        <v>75</v>
      </c>
      <c r="F6" s="41">
        <v>1</v>
      </c>
      <c r="G6" s="83"/>
      <c r="H6" s="45">
        <f t="shared" si="0"/>
        <v>0</v>
      </c>
      <c r="I6" s="82"/>
      <c r="J6" s="44"/>
    </row>
    <row r="7" spans="1:14" ht="84">
      <c r="A7" s="41">
        <v>6</v>
      </c>
      <c r="B7" s="41">
        <v>3000084708</v>
      </c>
      <c r="C7" s="135" t="s">
        <v>477</v>
      </c>
      <c r="D7" s="137" t="s">
        <v>483</v>
      </c>
      <c r="E7" s="51" t="s">
        <v>75</v>
      </c>
      <c r="F7" s="41">
        <v>5</v>
      </c>
      <c r="G7" s="83"/>
      <c r="H7" s="45">
        <f t="shared" si="0"/>
        <v>0</v>
      </c>
      <c r="I7" s="82"/>
      <c r="J7" s="44"/>
    </row>
    <row r="8" spans="1:14">
      <c r="A8" s="41">
        <v>7</v>
      </c>
      <c r="B8" s="386" t="s">
        <v>76</v>
      </c>
      <c r="C8" s="386"/>
      <c r="D8" s="386"/>
      <c r="E8" s="386"/>
      <c r="F8" s="386"/>
      <c r="G8" s="386"/>
      <c r="H8" s="46">
        <f>SUM(H2:H7)</f>
        <v>0</v>
      </c>
    </row>
    <row r="9" spans="1:14">
      <c r="A9" s="41">
        <v>8</v>
      </c>
      <c r="B9" s="386" t="s">
        <v>158</v>
      </c>
      <c r="C9" s="386"/>
      <c r="D9" s="386"/>
      <c r="E9" s="386"/>
      <c r="F9" s="386"/>
      <c r="G9" s="386"/>
      <c r="H9" s="46">
        <f>H8*18%</f>
        <v>0</v>
      </c>
    </row>
    <row r="10" spans="1:14">
      <c r="A10" s="41">
        <v>9</v>
      </c>
      <c r="B10" s="386" t="s">
        <v>79</v>
      </c>
      <c r="C10" s="386"/>
      <c r="D10" s="386"/>
      <c r="E10" s="386"/>
      <c r="F10" s="386"/>
      <c r="G10" s="386"/>
      <c r="H10" s="46">
        <f>SUM(H8:H9)</f>
        <v>0</v>
      </c>
    </row>
    <row r="11" spans="1:14">
      <c r="A11" s="378"/>
      <c r="B11" s="379"/>
      <c r="C11" s="379"/>
      <c r="D11" s="379"/>
      <c r="E11" s="379"/>
      <c r="F11" s="379"/>
      <c r="G11" s="379"/>
      <c r="H11" s="380"/>
    </row>
    <row r="12" spans="1:14" ht="153" customHeight="1">
      <c r="A12" s="47" t="s">
        <v>80</v>
      </c>
      <c r="B12" s="381" t="s">
        <v>466</v>
      </c>
      <c r="C12" s="381"/>
      <c r="D12" s="381"/>
      <c r="E12" s="381"/>
      <c r="F12" s="381"/>
      <c r="G12" s="381"/>
      <c r="H12" s="382"/>
    </row>
  </sheetData>
  <mergeCells count="5">
    <mergeCell ref="B8:G8"/>
    <mergeCell ref="B9:G9"/>
    <mergeCell ref="B10:G10"/>
    <mergeCell ref="A11:H11"/>
    <mergeCell ref="B12:H12"/>
  </mergeCells>
  <pageMargins left="0.7" right="0.7" top="0.75" bottom="0.75" header="0.3" footer="0.3"/>
  <pageSetup orientation="portrait" horizontalDpi="4294967292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42"/>
  <dimension ref="A1:N8"/>
  <sheetViews>
    <sheetView topLeftCell="A3" workbookViewId="0">
      <selection activeCell="B8" sqref="B8:H8"/>
    </sheetView>
  </sheetViews>
  <sheetFormatPr defaultColWidth="9.140625" defaultRowHeight="12.75"/>
  <cols>
    <col min="1" max="1" width="5.85546875" style="30" bestFit="1" customWidth="1"/>
    <col min="2" max="2" width="12.5703125" style="30" customWidth="1"/>
    <col min="3" max="3" width="17.42578125" style="30" bestFit="1" customWidth="1"/>
    <col min="4" max="4" width="38.5703125" style="30" customWidth="1"/>
    <col min="5" max="5" width="5" style="30" bestFit="1" customWidth="1"/>
    <col min="6" max="6" width="6.28515625" style="30" bestFit="1" customWidth="1"/>
    <col min="7" max="7" width="12.85546875" style="30" bestFit="1" customWidth="1"/>
    <col min="8" max="8" width="18.28515625" style="30" bestFit="1" customWidth="1"/>
    <col min="9" max="9" width="9.28515625" style="30" bestFit="1" customWidth="1"/>
    <col min="10" max="10" width="10.28515625" style="31" bestFit="1" customWidth="1"/>
    <col min="11" max="16384" width="9.140625" style="30"/>
  </cols>
  <sheetData>
    <row r="1" spans="1:14" ht="25.5">
      <c r="A1" s="37" t="s">
        <v>0</v>
      </c>
      <c r="B1" s="37" t="s">
        <v>268</v>
      </c>
      <c r="C1" s="38" t="s">
        <v>82</v>
      </c>
      <c r="D1" s="38" t="s">
        <v>67</v>
      </c>
      <c r="E1" s="38" t="s">
        <v>3</v>
      </c>
      <c r="F1" s="38" t="s">
        <v>68</v>
      </c>
      <c r="G1" s="39" t="s">
        <v>69</v>
      </c>
      <c r="H1" s="39" t="s">
        <v>70</v>
      </c>
      <c r="J1" s="40" t="s">
        <v>316</v>
      </c>
      <c r="K1" s="30" t="s">
        <v>23</v>
      </c>
      <c r="L1" s="30" t="s">
        <v>73</v>
      </c>
      <c r="N1" s="30" t="s">
        <v>74</v>
      </c>
    </row>
    <row r="2" spans="1:14" ht="48">
      <c r="A2" s="41">
        <v>1</v>
      </c>
      <c r="B2" s="41">
        <v>30000087054</v>
      </c>
      <c r="C2" s="140" t="s">
        <v>484</v>
      </c>
      <c r="D2" s="137" t="s">
        <v>486</v>
      </c>
      <c r="E2" s="51" t="s">
        <v>75</v>
      </c>
      <c r="F2" s="41">
        <v>528</v>
      </c>
      <c r="G2" s="83">
        <f>I2*77*1.3</f>
        <v>6906.9000000000005</v>
      </c>
      <c r="H2" s="45">
        <f>G2*F2</f>
        <v>3646843.2</v>
      </c>
      <c r="I2" s="82">
        <v>69</v>
      </c>
      <c r="J2" s="44">
        <v>69</v>
      </c>
    </row>
    <row r="3" spans="1:14" ht="48">
      <c r="A3" s="41">
        <v>2</v>
      </c>
      <c r="B3" s="41">
        <v>30000087054</v>
      </c>
      <c r="C3" s="140" t="s">
        <v>485</v>
      </c>
      <c r="D3" s="137" t="s">
        <v>487</v>
      </c>
      <c r="E3" s="51" t="s">
        <v>75</v>
      </c>
      <c r="F3" s="41">
        <v>24</v>
      </c>
      <c r="G3" s="83">
        <f>I3*77*1.3</f>
        <v>38538.5</v>
      </c>
      <c r="H3" s="45">
        <f>G3*F3</f>
        <v>924924</v>
      </c>
      <c r="I3" s="82">
        <v>385</v>
      </c>
      <c r="J3" s="44">
        <v>385</v>
      </c>
    </row>
    <row r="4" spans="1:14">
      <c r="A4" s="139">
        <v>3</v>
      </c>
      <c r="B4" s="386" t="s">
        <v>76</v>
      </c>
      <c r="C4" s="386"/>
      <c r="D4" s="386"/>
      <c r="E4" s="386"/>
      <c r="F4" s="386"/>
      <c r="G4" s="386"/>
      <c r="H4" s="46">
        <f>SUM(H2:H3)</f>
        <v>4571767.2</v>
      </c>
    </row>
    <row r="5" spans="1:14">
      <c r="A5" s="41">
        <v>4</v>
      </c>
      <c r="B5" s="386" t="s">
        <v>158</v>
      </c>
      <c r="C5" s="386"/>
      <c r="D5" s="386"/>
      <c r="E5" s="386"/>
      <c r="F5" s="386"/>
      <c r="G5" s="386"/>
      <c r="H5" s="46">
        <f>H4*18%</f>
        <v>822918.09600000002</v>
      </c>
    </row>
    <row r="6" spans="1:14">
      <c r="A6" s="41">
        <v>5</v>
      </c>
      <c r="B6" s="386" t="s">
        <v>79</v>
      </c>
      <c r="C6" s="386"/>
      <c r="D6" s="386"/>
      <c r="E6" s="386"/>
      <c r="F6" s="386"/>
      <c r="G6" s="386"/>
      <c r="H6" s="46">
        <f>SUM(H4:H5)</f>
        <v>5394685.2960000001</v>
      </c>
    </row>
    <row r="7" spans="1:14">
      <c r="A7" s="378"/>
      <c r="B7" s="379"/>
      <c r="C7" s="379"/>
      <c r="D7" s="379"/>
      <c r="E7" s="379"/>
      <c r="F7" s="379"/>
      <c r="G7" s="379"/>
      <c r="H7" s="380"/>
    </row>
    <row r="8" spans="1:14" ht="153" customHeight="1">
      <c r="A8" s="47" t="s">
        <v>80</v>
      </c>
      <c r="B8" s="381" t="s">
        <v>488</v>
      </c>
      <c r="C8" s="381"/>
      <c r="D8" s="381"/>
      <c r="E8" s="381"/>
      <c r="F8" s="381"/>
      <c r="G8" s="381"/>
      <c r="H8" s="382"/>
    </row>
  </sheetData>
  <mergeCells count="5">
    <mergeCell ref="B4:G4"/>
    <mergeCell ref="B5:G5"/>
    <mergeCell ref="B6:G6"/>
    <mergeCell ref="A7:H7"/>
    <mergeCell ref="B8:H8"/>
  </mergeCells>
  <pageMargins left="0.7" right="0.7" top="0.75" bottom="0.75" header="0.3" footer="0.3"/>
  <pageSetup orientation="portrait" horizontalDpi="4294967292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43"/>
  <dimension ref="A1:N8"/>
  <sheetViews>
    <sheetView workbookViewId="0">
      <selection activeCell="B8" sqref="B8:H8"/>
    </sheetView>
  </sheetViews>
  <sheetFormatPr defaultColWidth="9.140625" defaultRowHeight="12.75"/>
  <cols>
    <col min="1" max="1" width="5.85546875" style="30" bestFit="1" customWidth="1"/>
    <col min="2" max="2" width="12.5703125" style="30" customWidth="1"/>
    <col min="3" max="3" width="17.42578125" style="30" bestFit="1" customWidth="1"/>
    <col min="4" max="4" width="38.5703125" style="30" customWidth="1"/>
    <col min="5" max="5" width="5" style="30" bestFit="1" customWidth="1"/>
    <col min="6" max="6" width="6.28515625" style="30" bestFit="1" customWidth="1"/>
    <col min="7" max="7" width="12.85546875" style="30" bestFit="1" customWidth="1"/>
    <col min="8" max="8" width="18.28515625" style="30" bestFit="1" customWidth="1"/>
    <col min="9" max="9" width="9.28515625" style="30" bestFit="1" customWidth="1"/>
    <col min="10" max="10" width="10.28515625" style="31" bestFit="1" customWidth="1"/>
    <col min="11" max="16384" width="9.140625" style="30"/>
  </cols>
  <sheetData>
    <row r="1" spans="1:14" ht="25.5">
      <c r="A1" s="37" t="s">
        <v>0</v>
      </c>
      <c r="B1" s="37" t="s">
        <v>268</v>
      </c>
      <c r="C1" s="38" t="s">
        <v>82</v>
      </c>
      <c r="D1" s="38" t="s">
        <v>67</v>
      </c>
      <c r="E1" s="38" t="s">
        <v>3</v>
      </c>
      <c r="F1" s="38" t="s">
        <v>68</v>
      </c>
      <c r="G1" s="39" t="s">
        <v>69</v>
      </c>
      <c r="H1" s="39" t="s">
        <v>70</v>
      </c>
      <c r="J1" s="40" t="s">
        <v>145</v>
      </c>
      <c r="K1" s="30" t="s">
        <v>23</v>
      </c>
      <c r="L1" s="30" t="s">
        <v>73</v>
      </c>
      <c r="N1" s="30" t="s">
        <v>74</v>
      </c>
    </row>
    <row r="2" spans="1:14">
      <c r="A2" s="41">
        <v>1</v>
      </c>
      <c r="B2" s="41">
        <v>1000141871</v>
      </c>
      <c r="C2" s="41">
        <v>80033856</v>
      </c>
      <c r="D2" s="137" t="s">
        <v>489</v>
      </c>
      <c r="E2" s="51" t="s">
        <v>75</v>
      </c>
      <c r="F2" s="41">
        <v>6</v>
      </c>
      <c r="G2" s="83">
        <f>I2*80*1.3</f>
        <v>2600</v>
      </c>
      <c r="H2" s="45">
        <f>G2*F2</f>
        <v>15600</v>
      </c>
      <c r="I2" s="82">
        <v>25</v>
      </c>
      <c r="J2" s="44">
        <f>150/6</f>
        <v>25</v>
      </c>
    </row>
    <row r="3" spans="1:14">
      <c r="A3" s="41">
        <v>2</v>
      </c>
      <c r="B3" s="41">
        <v>1000141871</v>
      </c>
      <c r="C3" s="41">
        <v>80033857</v>
      </c>
      <c r="D3" s="137" t="s">
        <v>490</v>
      </c>
      <c r="E3" s="51" t="s">
        <v>75</v>
      </c>
      <c r="F3" s="41">
        <v>6</v>
      </c>
      <c r="G3" s="83">
        <f>I3*80*1.3</f>
        <v>1560</v>
      </c>
      <c r="H3" s="45">
        <f>G3*F3</f>
        <v>9360</v>
      </c>
      <c r="I3" s="82">
        <v>15</v>
      </c>
      <c r="J3" s="44">
        <f>80/6</f>
        <v>13.333333333333334</v>
      </c>
    </row>
    <row r="4" spans="1:14">
      <c r="A4" s="139">
        <v>3</v>
      </c>
      <c r="B4" s="386" t="s">
        <v>76</v>
      </c>
      <c r="C4" s="386"/>
      <c r="D4" s="386"/>
      <c r="E4" s="386"/>
      <c r="F4" s="386"/>
      <c r="G4" s="386"/>
      <c r="H4" s="46">
        <f>SUM(H2:H3)</f>
        <v>24960</v>
      </c>
    </row>
    <row r="5" spans="1:14">
      <c r="A5" s="41">
        <v>4</v>
      </c>
      <c r="B5" s="386" t="s">
        <v>158</v>
      </c>
      <c r="C5" s="386"/>
      <c r="D5" s="386"/>
      <c r="E5" s="386"/>
      <c r="F5" s="386"/>
      <c r="G5" s="386"/>
      <c r="H5" s="46">
        <f>H4*18%</f>
        <v>4492.8</v>
      </c>
    </row>
    <row r="6" spans="1:14">
      <c r="A6" s="41">
        <v>5</v>
      </c>
      <c r="B6" s="386" t="s">
        <v>79</v>
      </c>
      <c r="C6" s="386"/>
      <c r="D6" s="386"/>
      <c r="E6" s="386"/>
      <c r="F6" s="386"/>
      <c r="G6" s="386"/>
      <c r="H6" s="46">
        <f>SUM(H4:H5)</f>
        <v>29452.799999999999</v>
      </c>
    </row>
    <row r="7" spans="1:14">
      <c r="A7" s="378"/>
      <c r="B7" s="379"/>
      <c r="C7" s="379"/>
      <c r="D7" s="379"/>
      <c r="E7" s="379"/>
      <c r="F7" s="379"/>
      <c r="G7" s="379"/>
      <c r="H7" s="380"/>
    </row>
    <row r="8" spans="1:14" ht="153" customHeight="1">
      <c r="A8" s="47" t="s">
        <v>80</v>
      </c>
      <c r="B8" s="381" t="s">
        <v>491</v>
      </c>
      <c r="C8" s="381"/>
      <c r="D8" s="381"/>
      <c r="E8" s="381"/>
      <c r="F8" s="381"/>
      <c r="G8" s="381"/>
      <c r="H8" s="382"/>
    </row>
  </sheetData>
  <mergeCells count="5">
    <mergeCell ref="B4:G4"/>
    <mergeCell ref="B5:G5"/>
    <mergeCell ref="B6:G6"/>
    <mergeCell ref="A7:H7"/>
    <mergeCell ref="B8:H8"/>
  </mergeCells>
  <pageMargins left="0.7" right="0.7" top="0.75" bottom="0.75" header="0.3" footer="0.3"/>
  <pageSetup orientation="portrait" horizontalDpi="4294967292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44"/>
  <dimension ref="A1:N8"/>
  <sheetViews>
    <sheetView workbookViewId="0">
      <selection activeCell="B8" sqref="B8:H8"/>
    </sheetView>
  </sheetViews>
  <sheetFormatPr defaultColWidth="9.140625" defaultRowHeight="12.75"/>
  <cols>
    <col min="1" max="1" width="5.85546875" style="30" bestFit="1" customWidth="1"/>
    <col min="2" max="2" width="12.5703125" style="30" customWidth="1"/>
    <col min="3" max="3" width="11" style="30" bestFit="1" customWidth="1"/>
    <col min="4" max="4" width="54.28515625" style="30" customWidth="1"/>
    <col min="5" max="5" width="5" style="30" bestFit="1" customWidth="1"/>
    <col min="6" max="6" width="6.28515625" style="30" bestFit="1" customWidth="1"/>
    <col min="7" max="7" width="12.85546875" style="30" bestFit="1" customWidth="1"/>
    <col min="8" max="8" width="18.28515625" style="30" bestFit="1" customWidth="1"/>
    <col min="9" max="9" width="9.140625" style="30"/>
    <col min="10" max="10" width="10.28515625" style="31" bestFit="1" customWidth="1"/>
    <col min="11" max="16384" width="9.140625" style="30"/>
  </cols>
  <sheetData>
    <row r="1" spans="1:14" ht="25.5">
      <c r="A1" s="37" t="s">
        <v>0</v>
      </c>
      <c r="B1" s="37" t="s">
        <v>207</v>
      </c>
      <c r="C1" s="38" t="s">
        <v>82</v>
      </c>
      <c r="D1" s="38" t="s">
        <v>67</v>
      </c>
      <c r="E1" s="38" t="s">
        <v>3</v>
      </c>
      <c r="F1" s="38" t="s">
        <v>68</v>
      </c>
      <c r="G1" s="39" t="s">
        <v>69</v>
      </c>
      <c r="H1" s="39" t="s">
        <v>70</v>
      </c>
      <c r="J1" s="40" t="s">
        <v>145</v>
      </c>
      <c r="K1" s="30" t="s">
        <v>214</v>
      </c>
      <c r="L1" s="30" t="s">
        <v>73</v>
      </c>
      <c r="N1" s="30" t="s">
        <v>74</v>
      </c>
    </row>
    <row r="2" spans="1:14" ht="25.5">
      <c r="A2" s="41">
        <v>1</v>
      </c>
      <c r="B2" s="48">
        <v>10</v>
      </c>
      <c r="C2" s="48" t="s">
        <v>496</v>
      </c>
      <c r="D2" s="42" t="s">
        <v>497</v>
      </c>
      <c r="E2" s="43" t="s">
        <v>75</v>
      </c>
      <c r="F2" s="41">
        <v>10</v>
      </c>
      <c r="G2" s="44">
        <f>I2*80*1.3</f>
        <v>3640</v>
      </c>
      <c r="H2" s="45">
        <f>G2*F2</f>
        <v>36400</v>
      </c>
      <c r="I2" s="82">
        <v>35</v>
      </c>
      <c r="J2" s="44">
        <v>28</v>
      </c>
    </row>
    <row r="3" spans="1:14" ht="25.5">
      <c r="A3" s="41">
        <v>2</v>
      </c>
      <c r="B3" s="48">
        <v>20</v>
      </c>
      <c r="C3" s="48" t="s">
        <v>498</v>
      </c>
      <c r="D3" s="42" t="s">
        <v>499</v>
      </c>
      <c r="E3" s="43" t="s">
        <v>75</v>
      </c>
      <c r="F3" s="41">
        <v>10</v>
      </c>
      <c r="G3" s="44">
        <f>I3*80*1.3</f>
        <v>3328</v>
      </c>
      <c r="H3" s="45">
        <f>G3*F3</f>
        <v>33280</v>
      </c>
      <c r="I3" s="82">
        <v>32</v>
      </c>
      <c r="J3" s="44">
        <v>28</v>
      </c>
    </row>
    <row r="4" spans="1:14">
      <c r="A4" s="41">
        <v>3</v>
      </c>
      <c r="B4" s="386" t="s">
        <v>76</v>
      </c>
      <c r="C4" s="386"/>
      <c r="D4" s="386"/>
      <c r="E4" s="386"/>
      <c r="F4" s="386"/>
      <c r="G4" s="386"/>
      <c r="H4" s="46">
        <f>SUM(H2:H3)</f>
        <v>69680</v>
      </c>
    </row>
    <row r="5" spans="1:14">
      <c r="A5" s="41">
        <v>4</v>
      </c>
      <c r="B5" s="386" t="s">
        <v>402</v>
      </c>
      <c r="C5" s="386"/>
      <c r="D5" s="386"/>
      <c r="E5" s="386"/>
      <c r="F5" s="386"/>
      <c r="G5" s="386"/>
      <c r="H5" s="46">
        <f>H4*18%</f>
        <v>12542.4</v>
      </c>
    </row>
    <row r="6" spans="1:14">
      <c r="A6" s="41">
        <v>5</v>
      </c>
      <c r="B6" s="386" t="s">
        <v>79</v>
      </c>
      <c r="C6" s="386"/>
      <c r="D6" s="386"/>
      <c r="E6" s="386"/>
      <c r="F6" s="386"/>
      <c r="G6" s="386"/>
      <c r="H6" s="46">
        <f>SUM(H4:H5)</f>
        <v>82222.399999999994</v>
      </c>
    </row>
    <row r="7" spans="1:14">
      <c r="A7" s="378"/>
      <c r="B7" s="379"/>
      <c r="C7" s="379"/>
      <c r="D7" s="379"/>
      <c r="E7" s="379"/>
      <c r="F7" s="379"/>
      <c r="G7" s="379"/>
      <c r="H7" s="380"/>
    </row>
    <row r="8" spans="1:14" ht="153" customHeight="1">
      <c r="A8" s="47" t="s">
        <v>80</v>
      </c>
      <c r="B8" s="381" t="s">
        <v>222</v>
      </c>
      <c r="C8" s="381"/>
      <c r="D8" s="381"/>
      <c r="E8" s="381"/>
      <c r="F8" s="381"/>
      <c r="G8" s="381"/>
      <c r="H8" s="382"/>
    </row>
  </sheetData>
  <mergeCells count="5">
    <mergeCell ref="B4:G4"/>
    <mergeCell ref="B5:G5"/>
    <mergeCell ref="B6:G6"/>
    <mergeCell ref="A7:H7"/>
    <mergeCell ref="B8:H8"/>
  </mergeCells>
  <pageMargins left="0.7" right="0.7" top="0.75" bottom="0.75" header="0.3" footer="0.3"/>
  <pageSetup orientation="portrait" horizontalDpi="4294967292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45"/>
  <dimension ref="A1:O7"/>
  <sheetViews>
    <sheetView workbookViewId="0">
      <selection activeCell="H2" sqref="H2"/>
    </sheetView>
  </sheetViews>
  <sheetFormatPr defaultColWidth="9.140625" defaultRowHeight="12.75"/>
  <cols>
    <col min="1" max="1" width="5.85546875" style="30" bestFit="1" customWidth="1"/>
    <col min="2" max="2" width="12.5703125" style="30" customWidth="1"/>
    <col min="3" max="3" width="17.42578125" style="30" bestFit="1" customWidth="1"/>
    <col min="4" max="4" width="46.28515625" style="30" customWidth="1"/>
    <col min="5" max="6" width="5" style="30" bestFit="1" customWidth="1"/>
    <col min="7" max="7" width="6.28515625" style="30" bestFit="1" customWidth="1"/>
    <col min="8" max="8" width="12.85546875" style="30" bestFit="1" customWidth="1"/>
    <col min="9" max="9" width="18.28515625" style="30" bestFit="1" customWidth="1"/>
    <col min="10" max="10" width="9.28515625" style="30" bestFit="1" customWidth="1"/>
    <col min="11" max="11" width="10.28515625" style="31" bestFit="1" customWidth="1"/>
    <col min="12" max="16384" width="9.140625" style="30"/>
  </cols>
  <sheetData>
    <row r="1" spans="1:15" ht="25.5">
      <c r="A1" s="37" t="s">
        <v>0</v>
      </c>
      <c r="B1" s="37" t="s">
        <v>268</v>
      </c>
      <c r="C1" s="38" t="s">
        <v>82</v>
      </c>
      <c r="D1" s="38" t="s">
        <v>67</v>
      </c>
      <c r="E1" s="38" t="s">
        <v>25</v>
      </c>
      <c r="F1" s="38" t="s">
        <v>3</v>
      </c>
      <c r="G1" s="38" t="s">
        <v>68</v>
      </c>
      <c r="H1" s="39" t="s">
        <v>69</v>
      </c>
      <c r="I1" s="39" t="s">
        <v>70</v>
      </c>
      <c r="K1" s="40" t="s">
        <v>119</v>
      </c>
      <c r="L1" s="30" t="s">
        <v>23</v>
      </c>
      <c r="M1" s="30" t="s">
        <v>73</v>
      </c>
      <c r="O1" s="30" t="s">
        <v>74</v>
      </c>
    </row>
    <row r="2" spans="1:15" ht="102">
      <c r="A2" s="41">
        <v>1</v>
      </c>
      <c r="B2" s="41">
        <v>3000084478</v>
      </c>
      <c r="C2" s="41" t="s">
        <v>477</v>
      </c>
      <c r="D2" s="86" t="s">
        <v>494</v>
      </c>
      <c r="E2" s="51">
        <v>8481</v>
      </c>
      <c r="F2" s="43" t="s">
        <v>75</v>
      </c>
      <c r="G2" s="41">
        <v>5</v>
      </c>
      <c r="H2" s="83">
        <f>J2*80*1.32</f>
        <v>105600</v>
      </c>
      <c r="I2" s="45">
        <f>H2*G2</f>
        <v>528000</v>
      </c>
      <c r="J2" s="82">
        <v>1000</v>
      </c>
      <c r="K2" s="44">
        <v>952</v>
      </c>
    </row>
    <row r="3" spans="1:15">
      <c r="A3" s="41">
        <v>2</v>
      </c>
      <c r="B3" s="386" t="s">
        <v>76</v>
      </c>
      <c r="C3" s="386"/>
      <c r="D3" s="386"/>
      <c r="E3" s="386"/>
      <c r="F3" s="386"/>
      <c r="G3" s="386"/>
      <c r="H3" s="386"/>
      <c r="I3" s="46">
        <f>SUM(I2:I2)</f>
        <v>528000</v>
      </c>
    </row>
    <row r="4" spans="1:15">
      <c r="A4" s="41">
        <v>3</v>
      </c>
      <c r="B4" s="386" t="s">
        <v>158</v>
      </c>
      <c r="C4" s="386"/>
      <c r="D4" s="386"/>
      <c r="E4" s="386"/>
      <c r="F4" s="386"/>
      <c r="G4" s="386"/>
      <c r="H4" s="386"/>
      <c r="I4" s="46">
        <f>I3*18%</f>
        <v>95040</v>
      </c>
    </row>
    <row r="5" spans="1:15">
      <c r="A5" s="41">
        <v>4</v>
      </c>
      <c r="B5" s="386" t="s">
        <v>79</v>
      </c>
      <c r="C5" s="386"/>
      <c r="D5" s="386"/>
      <c r="E5" s="386"/>
      <c r="F5" s="386"/>
      <c r="G5" s="386"/>
      <c r="H5" s="386"/>
      <c r="I5" s="46">
        <f>SUM(I3:I4)</f>
        <v>623040</v>
      </c>
    </row>
    <row r="6" spans="1:15">
      <c r="A6" s="378"/>
      <c r="B6" s="379"/>
      <c r="C6" s="379"/>
      <c r="D6" s="379"/>
      <c r="E6" s="379"/>
      <c r="F6" s="379"/>
      <c r="G6" s="379"/>
      <c r="H6" s="379"/>
      <c r="I6" s="380"/>
    </row>
    <row r="7" spans="1:15" ht="153" customHeight="1">
      <c r="A7" s="47" t="s">
        <v>80</v>
      </c>
      <c r="B7" s="381" t="s">
        <v>466</v>
      </c>
      <c r="C7" s="381"/>
      <c r="D7" s="381"/>
      <c r="E7" s="381"/>
      <c r="F7" s="381"/>
      <c r="G7" s="381"/>
      <c r="H7" s="381"/>
      <c r="I7" s="382"/>
    </row>
  </sheetData>
  <mergeCells count="5">
    <mergeCell ref="B3:H3"/>
    <mergeCell ref="B4:H4"/>
    <mergeCell ref="B5:H5"/>
    <mergeCell ref="A6:I6"/>
    <mergeCell ref="B7:I7"/>
  </mergeCells>
  <pageMargins left="0.7" right="0.7" top="0.75" bottom="0.75" header="0.3" footer="0.3"/>
  <pageSetup orientation="portrait" horizontalDpi="4294967292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46"/>
  <dimension ref="A1:O11"/>
  <sheetViews>
    <sheetView workbookViewId="0"/>
  </sheetViews>
  <sheetFormatPr defaultColWidth="9.140625" defaultRowHeight="12.75"/>
  <cols>
    <col min="1" max="1" width="5.85546875" style="30" bestFit="1" customWidth="1"/>
    <col min="2" max="2" width="12.5703125" style="30" customWidth="1"/>
    <col min="3" max="3" width="17.42578125" style="30" bestFit="1" customWidth="1"/>
    <col min="4" max="4" width="46.28515625" style="30" customWidth="1"/>
    <col min="5" max="6" width="5" style="30" bestFit="1" customWidth="1"/>
    <col min="7" max="7" width="6.28515625" style="30" bestFit="1" customWidth="1"/>
    <col min="8" max="8" width="12.85546875" style="30" bestFit="1" customWidth="1"/>
    <col min="9" max="9" width="18.28515625" style="30" bestFit="1" customWidth="1"/>
    <col min="10" max="10" width="9.28515625" style="30" bestFit="1" customWidth="1"/>
    <col min="11" max="11" width="10.28515625" style="31" bestFit="1" customWidth="1"/>
    <col min="12" max="12" width="9.42578125" style="30" bestFit="1" customWidth="1"/>
    <col min="13" max="16384" width="9.140625" style="30"/>
  </cols>
  <sheetData>
    <row r="1" spans="1:15" ht="25.5">
      <c r="A1" s="37" t="s">
        <v>0</v>
      </c>
      <c r="B1" s="37" t="s">
        <v>268</v>
      </c>
      <c r="C1" s="38" t="s">
        <v>82</v>
      </c>
      <c r="D1" s="38" t="s">
        <v>67</v>
      </c>
      <c r="E1" s="38" t="s">
        <v>25</v>
      </c>
      <c r="F1" s="38" t="s">
        <v>3</v>
      </c>
      <c r="G1" s="38" t="s">
        <v>68</v>
      </c>
      <c r="H1" s="39" t="s">
        <v>69</v>
      </c>
      <c r="I1" s="39" t="s">
        <v>70</v>
      </c>
      <c r="K1" s="40" t="s">
        <v>145</v>
      </c>
      <c r="L1" s="30" t="s">
        <v>316</v>
      </c>
      <c r="M1" s="30" t="s">
        <v>73</v>
      </c>
      <c r="O1" s="30" t="s">
        <v>74</v>
      </c>
    </row>
    <row r="2" spans="1:15" ht="51">
      <c r="A2" s="41">
        <v>1</v>
      </c>
      <c r="B2" s="41">
        <v>3000084708</v>
      </c>
      <c r="C2" s="41" t="s">
        <v>472</v>
      </c>
      <c r="D2" s="86" t="s">
        <v>478</v>
      </c>
      <c r="E2" s="51">
        <v>8481</v>
      </c>
      <c r="F2" s="43" t="s">
        <v>75</v>
      </c>
      <c r="G2" s="41">
        <v>1</v>
      </c>
      <c r="H2" s="83" t="s">
        <v>116</v>
      </c>
      <c r="I2" s="45">
        <v>0</v>
      </c>
      <c r="J2" s="82"/>
      <c r="K2" s="44"/>
    </row>
    <row r="3" spans="1:15" ht="89.25">
      <c r="A3" s="41">
        <v>2</v>
      </c>
      <c r="B3" s="41">
        <v>3000084708</v>
      </c>
      <c r="C3" s="41" t="s">
        <v>473</v>
      </c>
      <c r="D3" s="86" t="s">
        <v>479</v>
      </c>
      <c r="E3" s="51">
        <v>8481</v>
      </c>
      <c r="F3" s="43" t="s">
        <v>75</v>
      </c>
      <c r="G3" s="41">
        <v>1</v>
      </c>
      <c r="H3" s="83">
        <f>J3*80*1.32</f>
        <v>132000</v>
      </c>
      <c r="I3" s="45">
        <f>H3*G3</f>
        <v>132000</v>
      </c>
      <c r="J3" s="82">
        <v>1250</v>
      </c>
      <c r="K3" s="44">
        <v>1200</v>
      </c>
      <c r="L3" s="142">
        <f>8625/6.2</f>
        <v>1391.1290322580644</v>
      </c>
    </row>
    <row r="4" spans="1:15" ht="114.75">
      <c r="A4" s="41">
        <v>3</v>
      </c>
      <c r="B4" s="41">
        <v>3000084708</v>
      </c>
      <c r="C4" s="41" t="s">
        <v>474</v>
      </c>
      <c r="D4" s="86" t="s">
        <v>480</v>
      </c>
      <c r="E4" s="51">
        <v>8481</v>
      </c>
      <c r="F4" s="43" t="s">
        <v>75</v>
      </c>
      <c r="G4" s="41">
        <v>1</v>
      </c>
      <c r="H4" s="83">
        <f>J4*80*1.32</f>
        <v>269280</v>
      </c>
      <c r="I4" s="45">
        <f>H4*G4</f>
        <v>269280</v>
      </c>
      <c r="J4" s="82">
        <v>2550</v>
      </c>
      <c r="K4" s="44">
        <v>2500</v>
      </c>
      <c r="L4" s="142">
        <f>17700/6.2</f>
        <v>2854.838709677419</v>
      </c>
    </row>
    <row r="5" spans="1:15" ht="51">
      <c r="A5" s="41">
        <v>4</v>
      </c>
      <c r="B5" s="41">
        <v>3000085612</v>
      </c>
      <c r="C5" s="41" t="s">
        <v>475</v>
      </c>
      <c r="D5" s="86" t="s">
        <v>481</v>
      </c>
      <c r="E5" s="51">
        <v>8481</v>
      </c>
      <c r="F5" s="43" t="s">
        <v>75</v>
      </c>
      <c r="G5" s="41">
        <v>3</v>
      </c>
      <c r="H5" s="83">
        <f>J5*80*1.32</f>
        <v>34848</v>
      </c>
      <c r="I5" s="45">
        <f>H5*G5</f>
        <v>104544</v>
      </c>
      <c r="J5" s="82">
        <v>330</v>
      </c>
      <c r="K5" s="44">
        <v>315</v>
      </c>
    </row>
    <row r="6" spans="1:15" ht="102">
      <c r="A6" s="41">
        <v>5</v>
      </c>
      <c r="B6" s="41">
        <v>3000084478</v>
      </c>
      <c r="C6" s="41" t="s">
        <v>477</v>
      </c>
      <c r="D6" s="86" t="s">
        <v>494</v>
      </c>
      <c r="E6" s="51">
        <v>8481</v>
      </c>
      <c r="F6" s="43" t="s">
        <v>75</v>
      </c>
      <c r="G6" s="41">
        <v>5</v>
      </c>
      <c r="H6" s="83">
        <f>J6*80*1.32</f>
        <v>105600</v>
      </c>
      <c r="I6" s="45">
        <f>H6*G6</f>
        <v>528000</v>
      </c>
      <c r="J6" s="82">
        <v>1000</v>
      </c>
      <c r="K6" s="44">
        <v>952</v>
      </c>
    </row>
    <row r="7" spans="1:15">
      <c r="A7" s="41">
        <v>6</v>
      </c>
      <c r="B7" s="386" t="s">
        <v>76</v>
      </c>
      <c r="C7" s="386"/>
      <c r="D7" s="386"/>
      <c r="E7" s="386"/>
      <c r="F7" s="386"/>
      <c r="G7" s="386"/>
      <c r="H7" s="386"/>
      <c r="I7" s="46">
        <f>SUM(I2:I6)</f>
        <v>1033824</v>
      </c>
    </row>
    <row r="8" spans="1:15">
      <c r="A8" s="41">
        <v>7</v>
      </c>
      <c r="B8" s="386" t="s">
        <v>495</v>
      </c>
      <c r="C8" s="386"/>
      <c r="D8" s="386"/>
      <c r="E8" s="386"/>
      <c r="F8" s="386"/>
      <c r="G8" s="386"/>
      <c r="H8" s="386"/>
      <c r="I8" s="46">
        <f>I7*18%</f>
        <v>186088.32000000001</v>
      </c>
    </row>
    <row r="9" spans="1:15">
      <c r="A9" s="41">
        <v>8</v>
      </c>
      <c r="B9" s="386" t="s">
        <v>79</v>
      </c>
      <c r="C9" s="386"/>
      <c r="D9" s="386"/>
      <c r="E9" s="386"/>
      <c r="F9" s="386"/>
      <c r="G9" s="386"/>
      <c r="H9" s="386"/>
      <c r="I9" s="46">
        <f>SUM(I7:I8)</f>
        <v>1219912.32</v>
      </c>
    </row>
    <row r="10" spans="1:15">
      <c r="A10" s="378"/>
      <c r="B10" s="379"/>
      <c r="C10" s="379"/>
      <c r="D10" s="379"/>
      <c r="E10" s="379"/>
      <c r="F10" s="379"/>
      <c r="G10" s="379"/>
      <c r="H10" s="379"/>
      <c r="I10" s="380"/>
    </row>
    <row r="11" spans="1:15" ht="153" customHeight="1">
      <c r="A11" s="47" t="s">
        <v>80</v>
      </c>
      <c r="B11" s="381" t="s">
        <v>466</v>
      </c>
      <c r="C11" s="381"/>
      <c r="D11" s="381"/>
      <c r="E11" s="381"/>
      <c r="F11" s="381"/>
      <c r="G11" s="381"/>
      <c r="H11" s="381"/>
      <c r="I11" s="382"/>
    </row>
  </sheetData>
  <mergeCells count="5">
    <mergeCell ref="B7:H7"/>
    <mergeCell ref="B8:H8"/>
    <mergeCell ref="B9:H9"/>
    <mergeCell ref="A10:I10"/>
    <mergeCell ref="B11:I11"/>
  </mergeCells>
  <pageMargins left="0.7" right="0.7" top="0.75" bottom="0.75" header="0.3" footer="0.3"/>
  <pageSetup orientation="portrait" horizontalDpi="4294967292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47"/>
  <dimension ref="A1:R6"/>
  <sheetViews>
    <sheetView workbookViewId="0">
      <selection activeCell="G2" sqref="G2"/>
    </sheetView>
  </sheetViews>
  <sheetFormatPr defaultColWidth="8.7109375" defaultRowHeight="12.75"/>
  <cols>
    <col min="1" max="1" width="4.7109375" style="143" bestFit="1" customWidth="1"/>
    <col min="2" max="2" width="6.28515625" style="143" bestFit="1" customWidth="1"/>
    <col min="3" max="3" width="4.42578125" style="143" bestFit="1" customWidth="1"/>
    <col min="4" max="4" width="4.7109375" style="143" bestFit="1" customWidth="1"/>
    <col min="5" max="5" width="9.85546875" style="143" bestFit="1" customWidth="1"/>
    <col min="6" max="6" width="7.85546875" style="143" bestFit="1" customWidth="1"/>
    <col min="7" max="7" width="13.7109375" style="143" customWidth="1"/>
    <col min="8" max="9" width="8.7109375" style="143"/>
    <col min="10" max="10" width="3.42578125" style="143" bestFit="1" customWidth="1"/>
    <col min="11" max="11" width="4.7109375" style="143" bestFit="1" customWidth="1"/>
    <col min="12" max="12" width="9.28515625" style="143" bestFit="1" customWidth="1"/>
    <col min="13" max="13" width="3.85546875" style="143" bestFit="1" customWidth="1"/>
    <col min="14" max="15" width="9.28515625" style="143" bestFit="1" customWidth="1"/>
    <col min="16" max="16" width="11.28515625" style="143" bestFit="1" customWidth="1"/>
    <col min="17" max="17" width="16.5703125" style="143" customWidth="1"/>
    <col min="18" max="18" width="13.7109375" style="143" customWidth="1"/>
    <col min="19" max="16384" width="8.7109375" style="143"/>
  </cols>
  <sheetData>
    <row r="1" spans="1:18" s="151" customFormat="1" ht="24.95" customHeight="1">
      <c r="A1" s="149" t="s">
        <v>519</v>
      </c>
      <c r="B1" s="149" t="s">
        <v>500</v>
      </c>
      <c r="C1" s="149" t="s">
        <v>501</v>
      </c>
      <c r="D1" s="149" t="s">
        <v>502</v>
      </c>
      <c r="E1" s="149" t="s">
        <v>503</v>
      </c>
      <c r="F1" s="149" t="s">
        <v>504</v>
      </c>
      <c r="G1" s="149" t="s">
        <v>505</v>
      </c>
      <c r="H1" s="149" t="s">
        <v>506</v>
      </c>
      <c r="I1" s="149" t="s">
        <v>507</v>
      </c>
      <c r="J1" s="149" t="s">
        <v>508</v>
      </c>
      <c r="K1" s="149" t="s">
        <v>3</v>
      </c>
      <c r="L1" s="150" t="s">
        <v>5</v>
      </c>
      <c r="M1" s="150" t="s">
        <v>26</v>
      </c>
      <c r="N1" s="150" t="s">
        <v>509</v>
      </c>
      <c r="O1" s="150" t="s">
        <v>510</v>
      </c>
      <c r="P1" s="150" t="s">
        <v>511</v>
      </c>
      <c r="Q1" s="150" t="s">
        <v>512</v>
      </c>
      <c r="R1" s="150" t="s">
        <v>518</v>
      </c>
    </row>
    <row r="2" spans="1:18" s="148" customFormat="1" ht="24.95" customHeight="1">
      <c r="A2" s="144">
        <v>1</v>
      </c>
      <c r="B2" s="144">
        <v>214663</v>
      </c>
      <c r="C2" s="144" t="s">
        <v>513</v>
      </c>
      <c r="D2" s="144">
        <v>3203</v>
      </c>
      <c r="E2" s="144">
        <v>3000081388</v>
      </c>
      <c r="F2" s="144">
        <v>10</v>
      </c>
      <c r="G2" s="145" t="s">
        <v>315</v>
      </c>
      <c r="H2" s="145" t="s">
        <v>514</v>
      </c>
      <c r="I2" s="145" t="s">
        <v>515</v>
      </c>
      <c r="J2" s="144">
        <v>16</v>
      </c>
      <c r="K2" s="144" t="s">
        <v>121</v>
      </c>
      <c r="L2" s="146">
        <v>4680</v>
      </c>
      <c r="M2" s="147">
        <v>0.18</v>
      </c>
      <c r="N2" s="146">
        <f>L2*1.18</f>
        <v>5522.4</v>
      </c>
      <c r="O2" s="146">
        <f>N2*J2</f>
        <v>88358.399999999994</v>
      </c>
      <c r="P2" s="144" t="s">
        <v>516</v>
      </c>
      <c r="Q2" s="145" t="s">
        <v>517</v>
      </c>
      <c r="R2" s="144">
        <v>4</v>
      </c>
    </row>
    <row r="3" spans="1:18" s="148" customFormat="1" ht="24.95" customHeight="1">
      <c r="A3" s="144">
        <v>2</v>
      </c>
      <c r="B3" s="144">
        <v>214266</v>
      </c>
      <c r="C3" s="144" t="s">
        <v>522</v>
      </c>
      <c r="D3" s="144">
        <v>3203</v>
      </c>
      <c r="E3" s="144">
        <v>3000084478</v>
      </c>
      <c r="F3" s="144">
        <v>20</v>
      </c>
      <c r="G3" s="144" t="s">
        <v>477</v>
      </c>
      <c r="H3" s="145" t="s">
        <v>520</v>
      </c>
      <c r="I3" s="145" t="s">
        <v>483</v>
      </c>
      <c r="J3" s="144">
        <v>5</v>
      </c>
      <c r="K3" s="144" t="s">
        <v>121</v>
      </c>
      <c r="L3" s="146">
        <v>105600</v>
      </c>
      <c r="M3" s="147">
        <v>0.18</v>
      </c>
      <c r="N3" s="146">
        <f>L3*1.18</f>
        <v>124608</v>
      </c>
      <c r="O3" s="146">
        <f>N3*J3</f>
        <v>623040</v>
      </c>
      <c r="P3" s="144" t="s">
        <v>521</v>
      </c>
      <c r="Q3" s="145" t="s">
        <v>517</v>
      </c>
      <c r="R3" s="144">
        <v>4</v>
      </c>
    </row>
    <row r="5" spans="1:18" s="151" customFormat="1" ht="24.95" customHeight="1">
      <c r="A5" s="149" t="s">
        <v>519</v>
      </c>
      <c r="B5" s="149" t="s">
        <v>500</v>
      </c>
      <c r="C5" s="149" t="s">
        <v>501</v>
      </c>
      <c r="D5" s="149" t="s">
        <v>502</v>
      </c>
      <c r="E5" s="149" t="s">
        <v>503</v>
      </c>
      <c r="F5" s="149" t="s">
        <v>504</v>
      </c>
      <c r="G5" s="149" t="s">
        <v>505</v>
      </c>
      <c r="H5" s="149" t="s">
        <v>506</v>
      </c>
      <c r="I5" s="149" t="s">
        <v>507</v>
      </c>
      <c r="J5" s="149" t="s">
        <v>508</v>
      </c>
      <c r="K5" s="149" t="s">
        <v>3</v>
      </c>
      <c r="L5" s="150" t="s">
        <v>5</v>
      </c>
      <c r="M5" s="150" t="s">
        <v>26</v>
      </c>
      <c r="N5" s="150" t="s">
        <v>509</v>
      </c>
      <c r="O5" s="150" t="s">
        <v>510</v>
      </c>
      <c r="P5" s="150" t="s">
        <v>511</v>
      </c>
      <c r="Q5" s="150" t="s">
        <v>512</v>
      </c>
      <c r="R5" s="150" t="s">
        <v>518</v>
      </c>
    </row>
    <row r="6" spans="1:18" s="148" customFormat="1" ht="24.95" customHeight="1">
      <c r="A6" s="144">
        <v>1</v>
      </c>
      <c r="B6" s="144">
        <v>211311</v>
      </c>
      <c r="C6" s="144" t="s">
        <v>533</v>
      </c>
      <c r="D6" s="144">
        <v>3102</v>
      </c>
      <c r="E6" s="144">
        <v>3000087960</v>
      </c>
      <c r="F6" s="144">
        <v>10</v>
      </c>
      <c r="G6" s="145" t="s">
        <v>530</v>
      </c>
      <c r="H6" s="145" t="s">
        <v>534</v>
      </c>
      <c r="I6" s="145" t="s">
        <v>535</v>
      </c>
      <c r="J6" s="144" t="s">
        <v>536</v>
      </c>
      <c r="K6" s="144" t="s">
        <v>121</v>
      </c>
      <c r="L6" s="146">
        <v>132000</v>
      </c>
      <c r="M6" s="147">
        <v>0.18</v>
      </c>
      <c r="N6" s="146">
        <f>L6*1.18</f>
        <v>155760</v>
      </c>
      <c r="O6" s="146">
        <f>N6*1</f>
        <v>155760</v>
      </c>
      <c r="P6" s="144">
        <v>12</v>
      </c>
      <c r="Q6" s="145" t="s">
        <v>517</v>
      </c>
      <c r="R6" s="144">
        <v>18</v>
      </c>
    </row>
  </sheetData>
  <pageMargins left="0.7" right="0.7" top="0.75" bottom="0.75" header="0.3" footer="0.3"/>
  <pageSetup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48"/>
  <dimension ref="A1:N8"/>
  <sheetViews>
    <sheetView workbookViewId="0">
      <selection activeCell="G3" sqref="G3"/>
    </sheetView>
  </sheetViews>
  <sheetFormatPr defaultColWidth="9.140625" defaultRowHeight="12.75"/>
  <cols>
    <col min="1" max="1" width="5.85546875" style="119" bestFit="1" customWidth="1"/>
    <col min="2" max="2" width="12.5703125" style="119" customWidth="1"/>
    <col min="3" max="3" width="17.42578125" style="119" bestFit="1" customWidth="1"/>
    <col min="4" max="4" width="46.28515625" style="119" customWidth="1"/>
    <col min="5" max="5" width="5" style="119" bestFit="1" customWidth="1"/>
    <col min="6" max="6" width="6.28515625" style="119" bestFit="1" customWidth="1"/>
    <col min="7" max="7" width="12.85546875" style="119" bestFit="1" customWidth="1"/>
    <col min="8" max="8" width="15.42578125" style="119" customWidth="1"/>
    <col min="9" max="9" width="9.28515625" style="119" bestFit="1" customWidth="1"/>
    <col min="10" max="10" width="10.28515625" style="127" bestFit="1" customWidth="1"/>
    <col min="11" max="11" width="9.42578125" style="119" bestFit="1" customWidth="1"/>
    <col min="12" max="16384" width="9.140625" style="119"/>
  </cols>
  <sheetData>
    <row r="1" spans="1:14" ht="25.5">
      <c r="A1" s="19" t="s">
        <v>0</v>
      </c>
      <c r="B1" s="19" t="s">
        <v>268</v>
      </c>
      <c r="C1" s="117" t="s">
        <v>82</v>
      </c>
      <c r="D1" s="117" t="s">
        <v>67</v>
      </c>
      <c r="E1" s="117" t="s">
        <v>3</v>
      </c>
      <c r="F1" s="117" t="s">
        <v>68</v>
      </c>
      <c r="G1" s="152" t="s">
        <v>69</v>
      </c>
      <c r="H1" s="152" t="s">
        <v>527</v>
      </c>
      <c r="J1" s="120" t="s">
        <v>145</v>
      </c>
      <c r="K1" s="119" t="s">
        <v>524</v>
      </c>
      <c r="L1" s="119" t="s">
        <v>73</v>
      </c>
      <c r="N1" s="119" t="s">
        <v>74</v>
      </c>
    </row>
    <row r="2" spans="1:14" ht="51">
      <c r="A2" s="23">
        <v>1</v>
      </c>
      <c r="B2" s="23">
        <v>3000087985</v>
      </c>
      <c r="C2" s="23" t="s">
        <v>523</v>
      </c>
      <c r="D2" s="153" t="s">
        <v>525</v>
      </c>
      <c r="E2" s="21" t="s">
        <v>75</v>
      </c>
      <c r="F2" s="23">
        <v>10</v>
      </c>
      <c r="G2" s="154">
        <f>I2*80*1.32</f>
        <v>4012.8</v>
      </c>
      <c r="H2" s="15">
        <f>G2*F2</f>
        <v>40128</v>
      </c>
      <c r="I2" s="124">
        <v>38</v>
      </c>
      <c r="J2" s="125">
        <v>30</v>
      </c>
      <c r="K2" s="119">
        <v>33</v>
      </c>
    </row>
    <row r="3" spans="1:14" ht="51">
      <c r="A3" s="23">
        <v>2</v>
      </c>
      <c r="B3" s="23">
        <v>3000088941</v>
      </c>
      <c r="C3" s="23" t="s">
        <v>523</v>
      </c>
      <c r="D3" s="153" t="s">
        <v>525</v>
      </c>
      <c r="E3" s="21" t="s">
        <v>75</v>
      </c>
      <c r="F3" s="23">
        <v>20</v>
      </c>
      <c r="G3" s="154">
        <f>I3*80*1.32</f>
        <v>4012.8</v>
      </c>
      <c r="H3" s="15">
        <f>G3*F3</f>
        <v>80256</v>
      </c>
      <c r="I3" s="124">
        <v>38</v>
      </c>
      <c r="J3" s="125">
        <v>30</v>
      </c>
      <c r="K3" s="119">
        <v>33</v>
      </c>
    </row>
    <row r="4" spans="1:14">
      <c r="A4" s="23">
        <v>3</v>
      </c>
      <c r="B4" s="397" t="s">
        <v>76</v>
      </c>
      <c r="C4" s="397"/>
      <c r="D4" s="397"/>
      <c r="E4" s="397"/>
      <c r="F4" s="397"/>
      <c r="G4" s="397"/>
      <c r="H4" s="155">
        <f>SUM(H2:H3)</f>
        <v>120384</v>
      </c>
    </row>
    <row r="5" spans="1:14">
      <c r="A5" s="23">
        <v>4</v>
      </c>
      <c r="B5" s="397" t="s">
        <v>528</v>
      </c>
      <c r="C5" s="397"/>
      <c r="D5" s="397"/>
      <c r="E5" s="397"/>
      <c r="F5" s="397"/>
      <c r="G5" s="397"/>
      <c r="H5" s="155">
        <f>H4*18%</f>
        <v>21669.119999999999</v>
      </c>
    </row>
    <row r="6" spans="1:14">
      <c r="A6" s="23">
        <v>5</v>
      </c>
      <c r="B6" s="397" t="s">
        <v>79</v>
      </c>
      <c r="C6" s="397"/>
      <c r="D6" s="397"/>
      <c r="E6" s="397"/>
      <c r="F6" s="397"/>
      <c r="G6" s="397"/>
      <c r="H6" s="155">
        <f>SUM(H4:H5)</f>
        <v>142053.12</v>
      </c>
    </row>
    <row r="7" spans="1:14">
      <c r="A7" s="398"/>
      <c r="B7" s="399"/>
      <c r="C7" s="399"/>
      <c r="D7" s="399"/>
      <c r="E7" s="399"/>
      <c r="F7" s="399"/>
      <c r="G7" s="399"/>
      <c r="H7" s="400"/>
    </row>
    <row r="8" spans="1:14" ht="153" customHeight="1">
      <c r="A8" s="128" t="s">
        <v>80</v>
      </c>
      <c r="B8" s="360" t="s">
        <v>526</v>
      </c>
      <c r="C8" s="360"/>
      <c r="D8" s="360"/>
      <c r="E8" s="360"/>
      <c r="F8" s="360"/>
      <c r="G8" s="360"/>
      <c r="H8" s="361"/>
    </row>
  </sheetData>
  <mergeCells count="5">
    <mergeCell ref="B4:G4"/>
    <mergeCell ref="B5:G5"/>
    <mergeCell ref="B6:G6"/>
    <mergeCell ref="A7:H7"/>
    <mergeCell ref="B8:H8"/>
  </mergeCells>
  <pageMargins left="0.7" right="0.7" top="0.75" bottom="0.75" header="0.3" footer="0.3"/>
  <pageSetup orientation="portrait" horizontalDpi="4294967292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49"/>
  <dimension ref="A1:N7"/>
  <sheetViews>
    <sheetView workbookViewId="0">
      <selection activeCell="B7" sqref="B7:H7"/>
    </sheetView>
  </sheetViews>
  <sheetFormatPr defaultColWidth="9.140625" defaultRowHeight="12.75"/>
  <cols>
    <col min="1" max="1" width="5.85546875" style="119" bestFit="1" customWidth="1"/>
    <col min="2" max="2" width="12.5703125" style="119" customWidth="1"/>
    <col min="3" max="3" width="17.42578125" style="119" bestFit="1" customWidth="1"/>
    <col min="4" max="4" width="46.28515625" style="119" customWidth="1"/>
    <col min="5" max="5" width="5" style="119" bestFit="1" customWidth="1"/>
    <col min="6" max="6" width="6.28515625" style="119" bestFit="1" customWidth="1"/>
    <col min="7" max="7" width="12.85546875" style="119" bestFit="1" customWidth="1"/>
    <col min="8" max="8" width="15.42578125" style="119" customWidth="1"/>
    <col min="9" max="9" width="9.28515625" style="119" bestFit="1" customWidth="1"/>
    <col min="10" max="10" width="10.28515625" style="127" bestFit="1" customWidth="1"/>
    <col min="11" max="11" width="9.42578125" style="119" bestFit="1" customWidth="1"/>
    <col min="12" max="16384" width="9.140625" style="119"/>
  </cols>
  <sheetData>
    <row r="1" spans="1:14" ht="25.5">
      <c r="A1" s="19" t="s">
        <v>0</v>
      </c>
      <c r="B1" s="19" t="s">
        <v>268</v>
      </c>
      <c r="C1" s="117" t="s">
        <v>82</v>
      </c>
      <c r="D1" s="117" t="s">
        <v>67</v>
      </c>
      <c r="E1" s="117" t="s">
        <v>3</v>
      </c>
      <c r="F1" s="117" t="s">
        <v>68</v>
      </c>
      <c r="G1" s="152" t="s">
        <v>69</v>
      </c>
      <c r="H1" s="152" t="s">
        <v>527</v>
      </c>
      <c r="J1" s="120" t="s">
        <v>145</v>
      </c>
      <c r="K1" s="119" t="s">
        <v>529</v>
      </c>
      <c r="L1" s="119" t="s">
        <v>532</v>
      </c>
      <c r="N1" s="119" t="s">
        <v>74</v>
      </c>
    </row>
    <row r="2" spans="1:14" ht="63.75">
      <c r="A2" s="23">
        <v>1</v>
      </c>
      <c r="B2" s="23">
        <v>3000087960</v>
      </c>
      <c r="C2" s="23" t="s">
        <v>530</v>
      </c>
      <c r="D2" s="153" t="s">
        <v>531</v>
      </c>
      <c r="E2" s="21" t="s">
        <v>75</v>
      </c>
      <c r="F2" s="23">
        <v>1</v>
      </c>
      <c r="G2" s="154">
        <v>132000</v>
      </c>
      <c r="H2" s="15">
        <f>G2*F2</f>
        <v>132000</v>
      </c>
      <c r="I2" s="124">
        <v>1250</v>
      </c>
      <c r="J2" s="125">
        <v>1000</v>
      </c>
      <c r="K2" s="119">
        <f>5600/6.3</f>
        <v>888.88888888888891</v>
      </c>
      <c r="L2" s="119">
        <f>16000/6.3</f>
        <v>2539.6825396825398</v>
      </c>
    </row>
    <row r="3" spans="1:14">
      <c r="A3" s="23">
        <v>2</v>
      </c>
      <c r="B3" s="397" t="s">
        <v>76</v>
      </c>
      <c r="C3" s="397"/>
      <c r="D3" s="397"/>
      <c r="E3" s="397"/>
      <c r="F3" s="397"/>
      <c r="G3" s="397"/>
      <c r="H3" s="155">
        <f>SUM(H2:H2)</f>
        <v>132000</v>
      </c>
    </row>
    <row r="4" spans="1:14">
      <c r="A4" s="23">
        <v>3</v>
      </c>
      <c r="B4" s="397" t="s">
        <v>415</v>
      </c>
      <c r="C4" s="397"/>
      <c r="D4" s="397"/>
      <c r="E4" s="397"/>
      <c r="F4" s="397"/>
      <c r="G4" s="397"/>
      <c r="H4" s="155">
        <f>H3*18%</f>
        <v>23760</v>
      </c>
    </row>
    <row r="5" spans="1:14">
      <c r="A5" s="23">
        <v>4</v>
      </c>
      <c r="B5" s="397" t="s">
        <v>79</v>
      </c>
      <c r="C5" s="397"/>
      <c r="D5" s="397"/>
      <c r="E5" s="397"/>
      <c r="F5" s="397"/>
      <c r="G5" s="397"/>
      <c r="H5" s="155">
        <f>SUM(H3:H4)</f>
        <v>155760</v>
      </c>
    </row>
    <row r="6" spans="1:14">
      <c r="A6" s="398"/>
      <c r="B6" s="399"/>
      <c r="C6" s="399"/>
      <c r="D6" s="399"/>
      <c r="E6" s="399"/>
      <c r="F6" s="399"/>
      <c r="G6" s="399"/>
      <c r="H6" s="400"/>
    </row>
    <row r="7" spans="1:14" ht="153" customHeight="1">
      <c r="A7" s="128" t="s">
        <v>80</v>
      </c>
      <c r="B7" s="360" t="s">
        <v>526</v>
      </c>
      <c r="C7" s="360"/>
      <c r="D7" s="360"/>
      <c r="E7" s="360"/>
      <c r="F7" s="360"/>
      <c r="G7" s="360"/>
      <c r="H7" s="361"/>
    </row>
  </sheetData>
  <mergeCells count="5">
    <mergeCell ref="B3:G3"/>
    <mergeCell ref="B4:G4"/>
    <mergeCell ref="B5:G5"/>
    <mergeCell ref="A6:H6"/>
    <mergeCell ref="B7:H7"/>
  </mergeCells>
  <pageMargins left="0.7" right="0.7" top="0.75" bottom="0.75" header="0.3" footer="0.3"/>
  <pageSetup orientation="portrait" horizontalDpi="4294967292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50"/>
  <dimension ref="A1:O11"/>
  <sheetViews>
    <sheetView workbookViewId="0">
      <selection activeCell="L2" sqref="L2"/>
    </sheetView>
  </sheetViews>
  <sheetFormatPr defaultColWidth="9.140625" defaultRowHeight="12.75"/>
  <cols>
    <col min="1" max="1" width="5.85546875" style="30" bestFit="1" customWidth="1"/>
    <col min="2" max="2" width="12.5703125" style="30" customWidth="1"/>
    <col min="3" max="3" width="17.5703125" style="30" customWidth="1"/>
    <col min="4" max="4" width="46.28515625" style="30" customWidth="1"/>
    <col min="5" max="6" width="5" style="30" bestFit="1" customWidth="1"/>
    <col min="7" max="7" width="6.28515625" style="30" bestFit="1" customWidth="1"/>
    <col min="8" max="8" width="13.42578125" style="95" bestFit="1" customWidth="1"/>
    <col min="9" max="9" width="17" style="95" customWidth="1"/>
    <col min="10" max="10" width="9.28515625" style="30" bestFit="1" customWidth="1"/>
    <col min="11" max="11" width="10.28515625" style="31" bestFit="1" customWidth="1"/>
    <col min="12" max="12" width="9.140625" style="133"/>
    <col min="13" max="16384" width="9.140625" style="30"/>
  </cols>
  <sheetData>
    <row r="1" spans="1:15" ht="25.5">
      <c r="A1" s="37" t="s">
        <v>0</v>
      </c>
      <c r="B1" s="37" t="s">
        <v>36</v>
      </c>
      <c r="C1" s="37" t="s">
        <v>1</v>
      </c>
      <c r="D1" s="38" t="s">
        <v>67</v>
      </c>
      <c r="E1" s="38" t="s">
        <v>25</v>
      </c>
      <c r="F1" s="38" t="s">
        <v>3</v>
      </c>
      <c r="G1" s="38" t="s">
        <v>68</v>
      </c>
      <c r="H1" s="91" t="s">
        <v>69</v>
      </c>
      <c r="I1" s="91" t="s">
        <v>70</v>
      </c>
      <c r="K1" s="40" t="s">
        <v>119</v>
      </c>
      <c r="L1" s="133" t="s">
        <v>550</v>
      </c>
      <c r="M1" s="30" t="s">
        <v>73</v>
      </c>
      <c r="O1" s="30" t="s">
        <v>74</v>
      </c>
    </row>
    <row r="2" spans="1:15" ht="63.75">
      <c r="A2" s="41">
        <v>1</v>
      </c>
      <c r="B2" s="10" t="s">
        <v>198</v>
      </c>
      <c r="C2" s="21" t="s">
        <v>539</v>
      </c>
      <c r="D2" s="121" t="s">
        <v>544</v>
      </c>
      <c r="E2" s="21">
        <v>8536</v>
      </c>
      <c r="F2" s="21" t="s">
        <v>75</v>
      </c>
      <c r="G2" s="23">
        <v>9</v>
      </c>
      <c r="H2" s="97">
        <f>J2*80*1.38</f>
        <v>11260.8</v>
      </c>
      <c r="I2" s="93">
        <f>H2*G2</f>
        <v>101347.2</v>
      </c>
      <c r="J2" s="82">
        <f>K2+10</f>
        <v>102</v>
      </c>
      <c r="K2" s="44">
        <v>92</v>
      </c>
    </row>
    <row r="3" spans="1:15" ht="63.75">
      <c r="A3" s="41">
        <v>2</v>
      </c>
      <c r="B3" s="10" t="s">
        <v>198</v>
      </c>
      <c r="C3" s="21" t="s">
        <v>540</v>
      </c>
      <c r="D3" s="121" t="s">
        <v>545</v>
      </c>
      <c r="E3" s="21">
        <v>8536</v>
      </c>
      <c r="F3" s="21" t="s">
        <v>75</v>
      </c>
      <c r="G3" s="23">
        <v>3</v>
      </c>
      <c r="H3" s="97">
        <f>J3*80*1.38</f>
        <v>10819.199999999999</v>
      </c>
      <c r="I3" s="93">
        <f>H3*G3</f>
        <v>32457.599999999999</v>
      </c>
      <c r="J3" s="82">
        <f>K3+10</f>
        <v>98</v>
      </c>
      <c r="K3" s="44">
        <v>88</v>
      </c>
    </row>
    <row r="4" spans="1:15" ht="89.25">
      <c r="A4" s="41">
        <v>3</v>
      </c>
      <c r="B4" s="10" t="s">
        <v>198</v>
      </c>
      <c r="C4" s="21" t="s">
        <v>541</v>
      </c>
      <c r="D4" s="121" t="s">
        <v>546</v>
      </c>
      <c r="E4" s="21">
        <v>8536</v>
      </c>
      <c r="F4" s="21" t="s">
        <v>75</v>
      </c>
      <c r="G4" s="23">
        <v>6</v>
      </c>
      <c r="H4" s="97">
        <f>J4*80*1.38</f>
        <v>9936</v>
      </c>
      <c r="I4" s="93">
        <f>H4*G4</f>
        <v>59616</v>
      </c>
      <c r="J4" s="82">
        <f>K4+10</f>
        <v>90</v>
      </c>
      <c r="K4" s="44">
        <v>80</v>
      </c>
    </row>
    <row r="5" spans="1:15" ht="89.25">
      <c r="A5" s="41">
        <v>4</v>
      </c>
      <c r="B5" s="10" t="s">
        <v>198</v>
      </c>
      <c r="C5" s="21" t="s">
        <v>542</v>
      </c>
      <c r="D5" s="121" t="s">
        <v>547</v>
      </c>
      <c r="E5" s="21">
        <v>8536</v>
      </c>
      <c r="F5" s="21" t="s">
        <v>75</v>
      </c>
      <c r="G5" s="23">
        <v>6</v>
      </c>
      <c r="H5" s="97">
        <f>J5*80*1.38</f>
        <v>8611.1999999999989</v>
      </c>
      <c r="I5" s="93">
        <f>H5*G5</f>
        <v>51667.199999999997</v>
      </c>
      <c r="J5" s="82">
        <f>K5+10</f>
        <v>78</v>
      </c>
      <c r="K5" s="44">
        <v>68</v>
      </c>
    </row>
    <row r="6" spans="1:15" ht="76.5">
      <c r="A6" s="41">
        <v>5</v>
      </c>
      <c r="B6" s="10" t="s">
        <v>198</v>
      </c>
      <c r="C6" s="21" t="s">
        <v>543</v>
      </c>
      <c r="D6" s="121" t="s">
        <v>548</v>
      </c>
      <c r="E6" s="21">
        <v>8536</v>
      </c>
      <c r="F6" s="21" t="s">
        <v>75</v>
      </c>
      <c r="G6" s="23">
        <v>6</v>
      </c>
      <c r="H6" s="97">
        <f>J6*80*1.38</f>
        <v>10377.599999999999</v>
      </c>
      <c r="I6" s="93">
        <f>H6*G6</f>
        <v>62265.599999999991</v>
      </c>
      <c r="J6" s="82">
        <f>K6+10</f>
        <v>94</v>
      </c>
      <c r="K6" s="44">
        <v>84</v>
      </c>
    </row>
    <row r="7" spans="1:15">
      <c r="A7" s="41">
        <v>6</v>
      </c>
      <c r="B7" s="386" t="s">
        <v>76</v>
      </c>
      <c r="C7" s="386"/>
      <c r="D7" s="386"/>
      <c r="E7" s="386"/>
      <c r="F7" s="386"/>
      <c r="G7" s="386"/>
      <c r="H7" s="386"/>
      <c r="I7" s="94">
        <f>SUM(I2:I6)</f>
        <v>307353.59999999998</v>
      </c>
    </row>
    <row r="8" spans="1:15">
      <c r="A8" s="41">
        <v>7</v>
      </c>
      <c r="B8" s="386" t="s">
        <v>158</v>
      </c>
      <c r="C8" s="386"/>
      <c r="D8" s="386"/>
      <c r="E8" s="386"/>
      <c r="F8" s="386"/>
      <c r="G8" s="386"/>
      <c r="H8" s="386"/>
      <c r="I8" s="94">
        <f>I7*18%</f>
        <v>55323.647999999994</v>
      </c>
    </row>
    <row r="9" spans="1:15">
      <c r="A9" s="41">
        <v>8</v>
      </c>
      <c r="B9" s="386" t="s">
        <v>79</v>
      </c>
      <c r="C9" s="386"/>
      <c r="D9" s="386"/>
      <c r="E9" s="386"/>
      <c r="F9" s="386"/>
      <c r="G9" s="386"/>
      <c r="H9" s="386"/>
      <c r="I9" s="94">
        <f>SUM(I7:I8)</f>
        <v>362677.24799999996</v>
      </c>
    </row>
    <row r="10" spans="1:15">
      <c r="A10" s="378"/>
      <c r="B10" s="379"/>
      <c r="C10" s="379"/>
      <c r="D10" s="379"/>
      <c r="E10" s="379"/>
      <c r="F10" s="379"/>
      <c r="G10" s="379"/>
      <c r="H10" s="379"/>
      <c r="I10" s="380"/>
    </row>
    <row r="11" spans="1:15" ht="140.25">
      <c r="A11" s="47" t="s">
        <v>80</v>
      </c>
      <c r="B11" s="381" t="s">
        <v>549</v>
      </c>
      <c r="C11" s="381"/>
      <c r="D11" s="381"/>
      <c r="E11" s="381"/>
      <c r="F11" s="381"/>
      <c r="G11" s="381"/>
      <c r="H11" s="381"/>
      <c r="I11" s="382"/>
    </row>
  </sheetData>
  <mergeCells count="5">
    <mergeCell ref="B7:H7"/>
    <mergeCell ref="B8:H8"/>
    <mergeCell ref="B9:H9"/>
    <mergeCell ref="A10:I10"/>
    <mergeCell ref="B11:I11"/>
  </mergeCells>
  <pageMargins left="0.7" right="0.7" top="0.75" bottom="0.75" header="0.3" footer="0.3"/>
  <pageSetup orientation="portrait" horizontalDpi="4294967292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51"/>
  <dimension ref="A1:N7"/>
  <sheetViews>
    <sheetView workbookViewId="0">
      <selection activeCell="J7" sqref="J7"/>
    </sheetView>
  </sheetViews>
  <sheetFormatPr defaultColWidth="9.140625" defaultRowHeight="12.75"/>
  <cols>
    <col min="1" max="1" width="5.85546875" style="119" bestFit="1" customWidth="1"/>
    <col min="2" max="2" width="12.5703125" style="119" customWidth="1"/>
    <col min="3" max="3" width="17.42578125" style="119" bestFit="1" customWidth="1"/>
    <col min="4" max="4" width="46.28515625" style="119" customWidth="1"/>
    <col min="5" max="5" width="5" style="119" bestFit="1" customWidth="1"/>
    <col min="6" max="6" width="6.28515625" style="119" bestFit="1" customWidth="1"/>
    <col min="7" max="7" width="12.85546875" style="119" bestFit="1" customWidth="1"/>
    <col min="8" max="8" width="15.42578125" style="119" customWidth="1"/>
    <col min="9" max="9" width="9.28515625" style="119" bestFit="1" customWidth="1"/>
    <col min="10" max="10" width="10.28515625" style="127" bestFit="1" customWidth="1"/>
    <col min="11" max="11" width="9.42578125" style="119" bestFit="1" customWidth="1"/>
    <col min="12" max="16384" width="9.140625" style="119"/>
  </cols>
  <sheetData>
    <row r="1" spans="1:14" ht="25.5">
      <c r="A1" s="19" t="s">
        <v>0</v>
      </c>
      <c r="B1" s="19" t="s">
        <v>268</v>
      </c>
      <c r="C1" s="117" t="s">
        <v>82</v>
      </c>
      <c r="D1" s="117" t="s">
        <v>67</v>
      </c>
      <c r="E1" s="117" t="s">
        <v>3</v>
      </c>
      <c r="F1" s="117" t="s">
        <v>68</v>
      </c>
      <c r="G1" s="152" t="s">
        <v>69</v>
      </c>
      <c r="H1" s="152" t="s">
        <v>527</v>
      </c>
      <c r="J1" s="120" t="s">
        <v>145</v>
      </c>
      <c r="K1" s="119" t="s">
        <v>529</v>
      </c>
      <c r="L1" s="119" t="s">
        <v>532</v>
      </c>
      <c r="N1" s="119" t="s">
        <v>74</v>
      </c>
    </row>
    <row r="2" spans="1:14" ht="25.5">
      <c r="A2" s="23">
        <v>1</v>
      </c>
      <c r="B2" s="23">
        <v>3000087910</v>
      </c>
      <c r="C2" s="23" t="s">
        <v>551</v>
      </c>
      <c r="D2" s="153" t="s">
        <v>552</v>
      </c>
      <c r="E2" s="21" t="s">
        <v>75</v>
      </c>
      <c r="F2" s="23">
        <v>10</v>
      </c>
      <c r="G2" s="154">
        <v>56500</v>
      </c>
      <c r="H2" s="15">
        <f>G2*F2</f>
        <v>565000</v>
      </c>
      <c r="I2" s="124"/>
      <c r="J2" s="125"/>
    </row>
    <row r="3" spans="1:14">
      <c r="A3" s="23">
        <v>2</v>
      </c>
      <c r="B3" s="397" t="s">
        <v>76</v>
      </c>
      <c r="C3" s="397"/>
      <c r="D3" s="397"/>
      <c r="E3" s="397"/>
      <c r="F3" s="397"/>
      <c r="G3" s="397"/>
      <c r="H3" s="155">
        <f>SUM(H2:H2)</f>
        <v>565000</v>
      </c>
    </row>
    <row r="4" spans="1:14">
      <c r="A4" s="23">
        <v>3</v>
      </c>
      <c r="B4" s="397" t="s">
        <v>402</v>
      </c>
      <c r="C4" s="397"/>
      <c r="D4" s="397"/>
      <c r="E4" s="397"/>
      <c r="F4" s="397"/>
      <c r="G4" s="397"/>
      <c r="H4" s="155">
        <f>H3*18%</f>
        <v>101700</v>
      </c>
    </row>
    <row r="5" spans="1:14">
      <c r="A5" s="23">
        <v>4</v>
      </c>
      <c r="B5" s="397" t="s">
        <v>79</v>
      </c>
      <c r="C5" s="397"/>
      <c r="D5" s="397"/>
      <c r="E5" s="397"/>
      <c r="F5" s="397"/>
      <c r="G5" s="397"/>
      <c r="H5" s="155">
        <f>SUM(H3:H4)</f>
        <v>666700</v>
      </c>
    </row>
    <row r="6" spans="1:14">
      <c r="A6" s="398"/>
      <c r="B6" s="399"/>
      <c r="C6" s="399"/>
      <c r="D6" s="399"/>
      <c r="E6" s="399"/>
      <c r="F6" s="399"/>
      <c r="G6" s="399"/>
      <c r="H6" s="400"/>
    </row>
    <row r="7" spans="1:14" ht="180.95" customHeight="1">
      <c r="A7" s="128" t="s">
        <v>553</v>
      </c>
      <c r="B7" s="360" t="s">
        <v>554</v>
      </c>
      <c r="C7" s="360"/>
      <c r="D7" s="360"/>
      <c r="E7" s="360"/>
      <c r="F7" s="360"/>
      <c r="G7" s="360"/>
      <c r="H7" s="361"/>
    </row>
  </sheetData>
  <mergeCells count="5">
    <mergeCell ref="B3:G3"/>
    <mergeCell ref="B4:G4"/>
    <mergeCell ref="B5:G5"/>
    <mergeCell ref="A6:H6"/>
    <mergeCell ref="B7:H7"/>
  </mergeCells>
  <pageMargins left="0.7" right="0.7" top="0.75" bottom="0.75" header="0.3" footer="0.3"/>
  <pageSetup orientation="portrait" horizontalDpi="4294967292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Sheet52"/>
  <dimension ref="A1:N9"/>
  <sheetViews>
    <sheetView workbookViewId="0">
      <selection activeCell="D2" sqref="D2"/>
    </sheetView>
  </sheetViews>
  <sheetFormatPr defaultColWidth="9.140625" defaultRowHeight="12.75"/>
  <cols>
    <col min="1" max="1" width="5.85546875" style="119" bestFit="1" customWidth="1"/>
    <col min="2" max="2" width="12.5703125" style="119" customWidth="1"/>
    <col min="3" max="3" width="17.42578125" style="119" bestFit="1" customWidth="1"/>
    <col min="4" max="4" width="46.28515625" style="119" customWidth="1"/>
    <col min="5" max="5" width="5" style="119" bestFit="1" customWidth="1"/>
    <col min="6" max="6" width="6.28515625" style="119" bestFit="1" customWidth="1"/>
    <col min="7" max="7" width="12.85546875" style="119" bestFit="1" customWidth="1"/>
    <col min="8" max="8" width="15.42578125" style="119" customWidth="1"/>
    <col min="9" max="9" width="9.28515625" style="119" bestFit="1" customWidth="1"/>
    <col min="10" max="10" width="10.28515625" style="127" bestFit="1" customWidth="1"/>
    <col min="11" max="11" width="9.42578125" style="119" bestFit="1" customWidth="1"/>
    <col min="12" max="16384" width="9.140625" style="119"/>
  </cols>
  <sheetData>
    <row r="1" spans="1:14" ht="25.5">
      <c r="A1" s="19" t="s">
        <v>0</v>
      </c>
      <c r="B1" s="19" t="s">
        <v>268</v>
      </c>
      <c r="C1" s="117" t="s">
        <v>82</v>
      </c>
      <c r="D1" s="117" t="s">
        <v>67</v>
      </c>
      <c r="E1" s="117" t="s">
        <v>3</v>
      </c>
      <c r="F1" s="117" t="s">
        <v>68</v>
      </c>
      <c r="G1" s="152" t="s">
        <v>69</v>
      </c>
      <c r="H1" s="152" t="s">
        <v>527</v>
      </c>
      <c r="J1" s="120" t="s">
        <v>145</v>
      </c>
      <c r="K1" s="119" t="s">
        <v>529</v>
      </c>
      <c r="L1" s="119" t="s">
        <v>532</v>
      </c>
      <c r="N1" s="119" t="s">
        <v>74</v>
      </c>
    </row>
    <row r="2" spans="1:14" ht="192" thickBot="1">
      <c r="A2" s="23">
        <v>1</v>
      </c>
      <c r="B2" s="156">
        <v>3000073641</v>
      </c>
      <c r="C2" s="156" t="s">
        <v>555</v>
      </c>
      <c r="D2" s="153" t="s">
        <v>558</v>
      </c>
      <c r="E2" s="21" t="s">
        <v>75</v>
      </c>
      <c r="F2" s="23">
        <v>5</v>
      </c>
      <c r="G2" s="154">
        <f>I2*80*1.35</f>
        <v>17820</v>
      </c>
      <c r="H2" s="15">
        <f>G2*F2</f>
        <v>89100</v>
      </c>
      <c r="I2" s="124">
        <v>165</v>
      </c>
      <c r="J2" s="125">
        <v>150</v>
      </c>
    </row>
    <row r="3" spans="1:14" ht="102.75" thickBot="1">
      <c r="A3" s="23">
        <v>2</v>
      </c>
      <c r="B3" s="156">
        <v>3000089862</v>
      </c>
      <c r="C3" s="156" t="s">
        <v>556</v>
      </c>
      <c r="D3" s="153" t="s">
        <v>559</v>
      </c>
      <c r="E3" s="21" t="s">
        <v>75</v>
      </c>
      <c r="F3" s="23">
        <v>15</v>
      </c>
      <c r="G3" s="154">
        <f>I3*80*1.35</f>
        <v>54000</v>
      </c>
      <c r="H3" s="15">
        <f>G3*F3</f>
        <v>810000</v>
      </c>
      <c r="I3" s="124">
        <v>500</v>
      </c>
      <c r="J3" s="125">
        <v>440</v>
      </c>
    </row>
    <row r="4" spans="1:14" ht="13.5" thickBot="1">
      <c r="A4" s="23">
        <v>3</v>
      </c>
      <c r="B4" s="156">
        <v>3000090080</v>
      </c>
      <c r="C4" s="156" t="s">
        <v>557</v>
      </c>
      <c r="D4" s="153" t="s">
        <v>561</v>
      </c>
      <c r="E4" s="21" t="s">
        <v>75</v>
      </c>
      <c r="F4" s="23">
        <v>10</v>
      </c>
      <c r="G4" s="154" t="s">
        <v>560</v>
      </c>
      <c r="H4" s="15">
        <v>0</v>
      </c>
      <c r="I4" s="124"/>
      <c r="J4" s="125"/>
    </row>
    <row r="5" spans="1:14">
      <c r="A5" s="23">
        <v>4</v>
      </c>
      <c r="B5" s="397" t="s">
        <v>76</v>
      </c>
      <c r="C5" s="397"/>
      <c r="D5" s="397"/>
      <c r="E5" s="397"/>
      <c r="F5" s="397"/>
      <c r="G5" s="397"/>
      <c r="H5" s="155">
        <f>SUM(H2:H4)</f>
        <v>899100</v>
      </c>
    </row>
    <row r="6" spans="1:14">
      <c r="A6" s="23">
        <v>5</v>
      </c>
      <c r="B6" s="397" t="s">
        <v>562</v>
      </c>
      <c r="C6" s="397"/>
      <c r="D6" s="397"/>
      <c r="E6" s="397"/>
      <c r="F6" s="397"/>
      <c r="G6" s="397"/>
      <c r="H6" s="155">
        <f>H5*18%</f>
        <v>161838</v>
      </c>
    </row>
    <row r="7" spans="1:14">
      <c r="A7" s="23">
        <v>6</v>
      </c>
      <c r="B7" s="397" t="s">
        <v>79</v>
      </c>
      <c r="C7" s="397"/>
      <c r="D7" s="397"/>
      <c r="E7" s="397"/>
      <c r="F7" s="397"/>
      <c r="G7" s="397"/>
      <c r="H7" s="155">
        <f>SUM(H5:H6)</f>
        <v>1060938</v>
      </c>
    </row>
    <row r="8" spans="1:14">
      <c r="A8" s="398"/>
      <c r="B8" s="399"/>
      <c r="C8" s="399"/>
      <c r="D8" s="399"/>
      <c r="E8" s="399"/>
      <c r="F8" s="399"/>
      <c r="G8" s="399"/>
      <c r="H8" s="400"/>
    </row>
    <row r="9" spans="1:14" ht="180.95" customHeight="1">
      <c r="A9" s="128" t="s">
        <v>553</v>
      </c>
      <c r="B9" s="360" t="s">
        <v>554</v>
      </c>
      <c r="C9" s="360"/>
      <c r="D9" s="360"/>
      <c r="E9" s="360"/>
      <c r="F9" s="360"/>
      <c r="G9" s="360"/>
      <c r="H9" s="361"/>
    </row>
  </sheetData>
  <mergeCells count="5">
    <mergeCell ref="B5:G5"/>
    <mergeCell ref="B6:G6"/>
    <mergeCell ref="B7:G7"/>
    <mergeCell ref="A8:H8"/>
    <mergeCell ref="B9:H9"/>
  </mergeCells>
  <pageMargins left="0.7" right="0.7" top="0.75" bottom="0.75" header="0.3" footer="0.3"/>
  <pageSetup orientation="portrait" horizontalDpi="4294967292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53"/>
  <dimension ref="A1:N7"/>
  <sheetViews>
    <sheetView workbookViewId="0">
      <selection activeCell="B2" sqref="B2:D2"/>
    </sheetView>
  </sheetViews>
  <sheetFormatPr defaultColWidth="9.140625" defaultRowHeight="12.75"/>
  <cols>
    <col min="1" max="1" width="5.85546875" style="119" bestFit="1" customWidth="1"/>
    <col min="2" max="2" width="12.5703125" style="119" customWidth="1"/>
    <col min="3" max="3" width="17.42578125" style="119" bestFit="1" customWidth="1"/>
    <col min="4" max="4" width="46.28515625" style="119" customWidth="1"/>
    <col min="5" max="5" width="5" style="119" bestFit="1" customWidth="1"/>
    <col min="6" max="6" width="6.28515625" style="119" bestFit="1" customWidth="1"/>
    <col min="7" max="7" width="12.85546875" style="119" bestFit="1" customWidth="1"/>
    <col min="8" max="8" width="15.42578125" style="119" customWidth="1"/>
    <col min="9" max="9" width="9.28515625" style="119" bestFit="1" customWidth="1"/>
    <col min="10" max="10" width="10.28515625" style="127" bestFit="1" customWidth="1"/>
    <col min="11" max="11" width="9.42578125" style="119" bestFit="1" customWidth="1"/>
    <col min="12" max="16384" width="9.140625" style="119"/>
  </cols>
  <sheetData>
    <row r="1" spans="1:14" ht="25.5">
      <c r="A1" s="19" t="s">
        <v>0</v>
      </c>
      <c r="B1" s="19" t="s">
        <v>268</v>
      </c>
      <c r="C1" s="117" t="s">
        <v>82</v>
      </c>
      <c r="D1" s="117" t="s">
        <v>67</v>
      </c>
      <c r="E1" s="117" t="s">
        <v>3</v>
      </c>
      <c r="F1" s="117" t="s">
        <v>68</v>
      </c>
      <c r="G1" s="152" t="s">
        <v>69</v>
      </c>
      <c r="H1" s="152" t="s">
        <v>527</v>
      </c>
      <c r="J1" s="120" t="s">
        <v>316</v>
      </c>
      <c r="K1" s="119" t="s">
        <v>529</v>
      </c>
      <c r="L1" s="119" t="s">
        <v>532</v>
      </c>
      <c r="N1" s="119" t="s">
        <v>74</v>
      </c>
    </row>
    <row r="2" spans="1:14" ht="63.75">
      <c r="A2" s="23">
        <v>1</v>
      </c>
      <c r="B2" s="157">
        <v>3000090436</v>
      </c>
      <c r="C2" s="157" t="s">
        <v>307</v>
      </c>
      <c r="D2" s="57" t="s">
        <v>564</v>
      </c>
      <c r="E2" s="21" t="s">
        <v>75</v>
      </c>
      <c r="F2" s="23">
        <v>50</v>
      </c>
      <c r="G2" s="154">
        <v>9850</v>
      </c>
      <c r="H2" s="15">
        <f>G2*F2</f>
        <v>492500</v>
      </c>
      <c r="I2" s="124"/>
      <c r="J2" s="125">
        <f>400/6</f>
        <v>66.666666666666671</v>
      </c>
    </row>
    <row r="3" spans="1:14">
      <c r="A3" s="23">
        <v>2</v>
      </c>
      <c r="B3" s="397" t="s">
        <v>76</v>
      </c>
      <c r="C3" s="397"/>
      <c r="D3" s="397"/>
      <c r="E3" s="397"/>
      <c r="F3" s="397"/>
      <c r="G3" s="397"/>
      <c r="H3" s="155">
        <f>SUM(H2:H2)</f>
        <v>492500</v>
      </c>
    </row>
    <row r="4" spans="1:14">
      <c r="A4" s="23">
        <v>3</v>
      </c>
      <c r="B4" s="397" t="s">
        <v>563</v>
      </c>
      <c r="C4" s="397"/>
      <c r="D4" s="397"/>
      <c r="E4" s="397"/>
      <c r="F4" s="397"/>
      <c r="G4" s="397"/>
      <c r="H4" s="155">
        <f>H3*18%</f>
        <v>88650</v>
      </c>
    </row>
    <row r="5" spans="1:14">
      <c r="A5" s="23">
        <v>4</v>
      </c>
      <c r="B5" s="397" t="s">
        <v>79</v>
      </c>
      <c r="C5" s="397"/>
      <c r="D5" s="397"/>
      <c r="E5" s="397"/>
      <c r="F5" s="397"/>
      <c r="G5" s="397"/>
      <c r="H5" s="155">
        <f>SUM(H3:H4)</f>
        <v>581150</v>
      </c>
    </row>
    <row r="6" spans="1:14">
      <c r="A6" s="398"/>
      <c r="B6" s="399"/>
      <c r="C6" s="399"/>
      <c r="D6" s="399"/>
      <c r="E6" s="399"/>
      <c r="F6" s="399"/>
      <c r="G6" s="399"/>
      <c r="H6" s="400"/>
    </row>
    <row r="7" spans="1:14" ht="180.95" customHeight="1">
      <c r="A7" s="128" t="s">
        <v>553</v>
      </c>
      <c r="B7" s="360" t="s">
        <v>554</v>
      </c>
      <c r="C7" s="360"/>
      <c r="D7" s="360"/>
      <c r="E7" s="360"/>
      <c r="F7" s="360"/>
      <c r="G7" s="360"/>
      <c r="H7" s="361"/>
    </row>
  </sheetData>
  <mergeCells count="5">
    <mergeCell ref="B3:G3"/>
    <mergeCell ref="B4:G4"/>
    <mergeCell ref="B5:G5"/>
    <mergeCell ref="A6:H6"/>
    <mergeCell ref="B7:H7"/>
  </mergeCells>
  <pageMargins left="0.7" right="0.7" top="0.75" bottom="0.75" header="0.3" footer="0.3"/>
  <pageSetup orientation="portrait" horizontalDpi="4294967292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Sheet54"/>
  <dimension ref="A1:N11"/>
  <sheetViews>
    <sheetView workbookViewId="0">
      <selection activeCell="D1" sqref="D1"/>
    </sheetView>
  </sheetViews>
  <sheetFormatPr defaultColWidth="9.140625" defaultRowHeight="12.75"/>
  <cols>
    <col min="1" max="1" width="5.85546875" style="119" bestFit="1" customWidth="1"/>
    <col min="2" max="2" width="12.5703125" style="119" customWidth="1"/>
    <col min="3" max="3" width="17.42578125" style="119" bestFit="1" customWidth="1"/>
    <col min="4" max="4" width="46.28515625" style="119" customWidth="1"/>
    <col min="5" max="5" width="5" style="119" bestFit="1" customWidth="1"/>
    <col min="6" max="6" width="6.28515625" style="119" bestFit="1" customWidth="1"/>
    <col min="7" max="7" width="12.85546875" style="119" bestFit="1" customWidth="1"/>
    <col min="8" max="8" width="15.42578125" style="119" customWidth="1"/>
    <col min="9" max="9" width="9.28515625" style="119" bestFit="1" customWidth="1"/>
    <col min="10" max="10" width="10.28515625" style="127" bestFit="1" customWidth="1"/>
    <col min="11" max="11" width="9.42578125" style="119" bestFit="1" customWidth="1"/>
    <col min="12" max="16384" width="9.140625" style="119"/>
  </cols>
  <sheetData>
    <row r="1" spans="1:14" ht="25.5">
      <c r="A1" s="19" t="s">
        <v>0</v>
      </c>
      <c r="B1" s="19" t="s">
        <v>268</v>
      </c>
      <c r="C1" s="117" t="s">
        <v>82</v>
      </c>
      <c r="D1" s="117" t="s">
        <v>67</v>
      </c>
      <c r="E1" s="117" t="s">
        <v>3</v>
      </c>
      <c r="F1" s="117" t="s">
        <v>68</v>
      </c>
      <c r="G1" s="152" t="s">
        <v>69</v>
      </c>
      <c r="H1" s="152" t="s">
        <v>527</v>
      </c>
      <c r="J1" s="120" t="s">
        <v>316</v>
      </c>
      <c r="K1" s="119" t="s">
        <v>529</v>
      </c>
      <c r="L1" s="119" t="s">
        <v>532</v>
      </c>
      <c r="N1" s="119" t="s">
        <v>74</v>
      </c>
    </row>
    <row r="2" spans="1:14" ht="25.5">
      <c r="A2" s="23">
        <v>1</v>
      </c>
      <c r="B2" s="157" t="s">
        <v>565</v>
      </c>
      <c r="C2" s="157" t="s">
        <v>567</v>
      </c>
      <c r="D2" s="57" t="s">
        <v>566</v>
      </c>
      <c r="E2" s="21" t="s">
        <v>75</v>
      </c>
      <c r="F2" s="23">
        <v>30</v>
      </c>
      <c r="G2" s="154"/>
      <c r="H2" s="15">
        <f>G2*F2</f>
        <v>0</v>
      </c>
      <c r="I2" s="124"/>
      <c r="J2" s="125"/>
    </row>
    <row r="3" spans="1:14" ht="76.5">
      <c r="A3" s="23">
        <v>2</v>
      </c>
      <c r="B3" s="157" t="s">
        <v>565</v>
      </c>
      <c r="C3" s="157" t="s">
        <v>569</v>
      </c>
      <c r="D3" s="57" t="s">
        <v>568</v>
      </c>
      <c r="E3" s="21" t="s">
        <v>75</v>
      </c>
      <c r="F3" s="23">
        <v>42</v>
      </c>
      <c r="G3" s="154"/>
      <c r="H3" s="15">
        <f>G3*F3</f>
        <v>0</v>
      </c>
      <c r="I3" s="124"/>
      <c r="J3" s="125"/>
    </row>
    <row r="4" spans="1:14" ht="51">
      <c r="A4" s="23">
        <v>3</v>
      </c>
      <c r="B4" s="157" t="s">
        <v>565</v>
      </c>
      <c r="C4" s="157" t="s">
        <v>571</v>
      </c>
      <c r="D4" s="57" t="s">
        <v>570</v>
      </c>
      <c r="E4" s="21" t="s">
        <v>75</v>
      </c>
      <c r="F4" s="23">
        <v>40</v>
      </c>
      <c r="G4" s="154"/>
      <c r="H4" s="15">
        <f>G4*F4</f>
        <v>0</v>
      </c>
      <c r="I4" s="124"/>
      <c r="J4" s="125"/>
    </row>
    <row r="5" spans="1:14" ht="38.25">
      <c r="A5" s="23">
        <v>4</v>
      </c>
      <c r="B5" s="157" t="s">
        <v>565</v>
      </c>
      <c r="C5" s="157" t="s">
        <v>310</v>
      </c>
      <c r="D5" s="57" t="s">
        <v>572</v>
      </c>
      <c r="E5" s="21" t="s">
        <v>75</v>
      </c>
      <c r="F5" s="23">
        <v>60</v>
      </c>
      <c r="G5" s="154">
        <v>1450</v>
      </c>
      <c r="H5" s="15">
        <f>G5*F5</f>
        <v>87000</v>
      </c>
      <c r="I5" s="124"/>
      <c r="J5" s="125"/>
    </row>
    <row r="6" spans="1:14" ht="63.75">
      <c r="A6" s="23">
        <v>5</v>
      </c>
      <c r="B6" s="157">
        <v>3000090436</v>
      </c>
      <c r="C6" s="157" t="s">
        <v>307</v>
      </c>
      <c r="D6" s="57" t="s">
        <v>564</v>
      </c>
      <c r="E6" s="21" t="s">
        <v>75</v>
      </c>
      <c r="F6" s="23">
        <v>50</v>
      </c>
      <c r="G6" s="154">
        <v>10000</v>
      </c>
      <c r="H6" s="15">
        <f>G6*F6</f>
        <v>500000</v>
      </c>
      <c r="I6" s="124"/>
      <c r="J6" s="125"/>
    </row>
    <row r="7" spans="1:14">
      <c r="A7" s="23">
        <v>6</v>
      </c>
      <c r="B7" s="397" t="s">
        <v>76</v>
      </c>
      <c r="C7" s="397"/>
      <c r="D7" s="397"/>
      <c r="E7" s="397"/>
      <c r="F7" s="397"/>
      <c r="G7" s="397"/>
      <c r="H7" s="155" t="e">
        <f>SUM(#REF!)</f>
        <v>#REF!</v>
      </c>
    </row>
    <row r="8" spans="1:14">
      <c r="A8" s="23">
        <v>7</v>
      </c>
      <c r="B8" s="397" t="s">
        <v>563</v>
      </c>
      <c r="C8" s="397"/>
      <c r="D8" s="397"/>
      <c r="E8" s="397"/>
      <c r="F8" s="397"/>
      <c r="G8" s="397"/>
      <c r="H8" s="155" t="e">
        <f>H7*18%</f>
        <v>#REF!</v>
      </c>
    </row>
    <row r="9" spans="1:14">
      <c r="A9" s="23">
        <v>8</v>
      </c>
      <c r="B9" s="397" t="s">
        <v>79</v>
      </c>
      <c r="C9" s="397"/>
      <c r="D9" s="397"/>
      <c r="E9" s="397"/>
      <c r="F9" s="397"/>
      <c r="G9" s="397"/>
      <c r="H9" s="155" t="e">
        <f>SUM(H7:H8)</f>
        <v>#REF!</v>
      </c>
    </row>
    <row r="10" spans="1:14">
      <c r="A10" s="398"/>
      <c r="B10" s="399"/>
      <c r="C10" s="399"/>
      <c r="D10" s="399"/>
      <c r="E10" s="399"/>
      <c r="F10" s="399"/>
      <c r="G10" s="399"/>
      <c r="H10" s="400"/>
    </row>
    <row r="11" spans="1:14" ht="180.95" customHeight="1">
      <c r="A11" s="128" t="s">
        <v>553</v>
      </c>
      <c r="B11" s="360" t="s">
        <v>554</v>
      </c>
      <c r="C11" s="360"/>
      <c r="D11" s="360"/>
      <c r="E11" s="360"/>
      <c r="F11" s="360"/>
      <c r="G11" s="360"/>
      <c r="H11" s="361"/>
    </row>
  </sheetData>
  <mergeCells count="5">
    <mergeCell ref="B7:G7"/>
    <mergeCell ref="B8:G8"/>
    <mergeCell ref="B9:G9"/>
    <mergeCell ref="A10:H10"/>
    <mergeCell ref="B11:H11"/>
  </mergeCells>
  <pageMargins left="0.7" right="0.7" top="0.75" bottom="0.75" header="0.3" footer="0.3"/>
  <pageSetup orientation="portrait" horizontalDpi="4294967292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Sheet55"/>
  <dimension ref="A1:N17"/>
  <sheetViews>
    <sheetView workbookViewId="0">
      <selection activeCell="D11" sqref="D11"/>
    </sheetView>
  </sheetViews>
  <sheetFormatPr defaultColWidth="9.140625" defaultRowHeight="12.75"/>
  <cols>
    <col min="1" max="1" width="5.85546875" style="119" bestFit="1" customWidth="1"/>
    <col min="2" max="2" width="12.5703125" style="119" customWidth="1"/>
    <col min="3" max="3" width="17.42578125" style="119" bestFit="1" customWidth="1"/>
    <col min="4" max="4" width="46.28515625" style="119" customWidth="1"/>
    <col min="5" max="5" width="5" style="119" bestFit="1" customWidth="1"/>
    <col min="6" max="6" width="6.28515625" style="119" bestFit="1" customWidth="1"/>
    <col min="7" max="7" width="12.85546875" style="119" bestFit="1" customWidth="1"/>
    <col min="8" max="8" width="15.42578125" style="119" customWidth="1"/>
    <col min="9" max="9" width="9.28515625" style="119" bestFit="1" customWidth="1"/>
    <col min="10" max="10" width="10.28515625" style="127" bestFit="1" customWidth="1"/>
    <col min="11" max="11" width="9.42578125" style="119" bestFit="1" customWidth="1"/>
    <col min="12" max="16384" width="9.140625" style="119"/>
  </cols>
  <sheetData>
    <row r="1" spans="1:14" ht="25.5">
      <c r="A1" s="19" t="s">
        <v>0</v>
      </c>
      <c r="B1" s="19" t="s">
        <v>268</v>
      </c>
      <c r="C1" s="117" t="s">
        <v>82</v>
      </c>
      <c r="D1" s="117" t="s">
        <v>67</v>
      </c>
      <c r="E1" s="117" t="s">
        <v>3</v>
      </c>
      <c r="F1" s="117" t="s">
        <v>68</v>
      </c>
      <c r="G1" s="152" t="s">
        <v>69</v>
      </c>
      <c r="H1" s="152" t="s">
        <v>527</v>
      </c>
      <c r="J1" s="120" t="s">
        <v>316</v>
      </c>
      <c r="K1" s="119" t="s">
        <v>529</v>
      </c>
      <c r="L1" s="119" t="s">
        <v>532</v>
      </c>
      <c r="N1" s="119" t="s">
        <v>74</v>
      </c>
    </row>
    <row r="2" spans="1:14">
      <c r="A2" s="23">
        <v>1</v>
      </c>
      <c r="B2" s="23" t="s">
        <v>565</v>
      </c>
      <c r="C2" s="23" t="s">
        <v>573</v>
      </c>
      <c r="D2" s="23" t="s">
        <v>583</v>
      </c>
      <c r="E2" s="23" t="s">
        <v>75</v>
      </c>
      <c r="F2" s="23">
        <v>2</v>
      </c>
      <c r="G2" s="154">
        <v>16000</v>
      </c>
      <c r="H2" s="15">
        <f>G2*F2</f>
        <v>32000</v>
      </c>
      <c r="I2" s="124"/>
      <c r="J2" s="125"/>
    </row>
    <row r="3" spans="1:14">
      <c r="A3" s="23">
        <v>2</v>
      </c>
      <c r="B3" s="23" t="s">
        <v>565</v>
      </c>
      <c r="C3" s="23" t="s">
        <v>574</v>
      </c>
      <c r="D3" s="23" t="s">
        <v>584</v>
      </c>
      <c r="E3" s="23" t="s">
        <v>75</v>
      </c>
      <c r="F3" s="23">
        <v>1</v>
      </c>
      <c r="G3" s="154">
        <v>125000</v>
      </c>
      <c r="H3" s="15">
        <f>G3*F3</f>
        <v>125000</v>
      </c>
      <c r="I3" s="124"/>
      <c r="J3" s="125"/>
    </row>
    <row r="4" spans="1:14">
      <c r="A4" s="23">
        <v>3</v>
      </c>
      <c r="B4" s="23" t="s">
        <v>565</v>
      </c>
      <c r="C4" s="23" t="s">
        <v>575</v>
      </c>
      <c r="D4" s="23" t="s">
        <v>585</v>
      </c>
      <c r="E4" s="23" t="s">
        <v>75</v>
      </c>
      <c r="F4" s="23">
        <v>1</v>
      </c>
      <c r="G4" s="154" t="s">
        <v>594</v>
      </c>
      <c r="H4" s="15">
        <v>0</v>
      </c>
      <c r="I4" s="124"/>
      <c r="J4" s="125"/>
    </row>
    <row r="5" spans="1:14">
      <c r="A5" s="23">
        <v>4</v>
      </c>
      <c r="B5" s="23" t="s">
        <v>565</v>
      </c>
      <c r="C5" s="23" t="s">
        <v>576</v>
      </c>
      <c r="D5" s="23" t="s">
        <v>586</v>
      </c>
      <c r="E5" s="23" t="s">
        <v>75</v>
      </c>
      <c r="F5" s="23">
        <v>3</v>
      </c>
      <c r="G5" s="154">
        <v>5200</v>
      </c>
      <c r="H5" s="15">
        <f>G5*F5</f>
        <v>15600</v>
      </c>
      <c r="I5" s="124"/>
      <c r="J5" s="125"/>
    </row>
    <row r="6" spans="1:14">
      <c r="A6" s="23">
        <v>5</v>
      </c>
      <c r="B6" s="23" t="s">
        <v>565</v>
      </c>
      <c r="C6" s="23" t="s">
        <v>577</v>
      </c>
      <c r="D6" s="23" t="s">
        <v>587</v>
      </c>
      <c r="E6" s="23" t="s">
        <v>75</v>
      </c>
      <c r="F6" s="23">
        <v>1</v>
      </c>
      <c r="G6" s="154">
        <v>4800</v>
      </c>
      <c r="H6" s="15">
        <f>G6*F6</f>
        <v>4800</v>
      </c>
      <c r="I6" s="124"/>
      <c r="J6" s="125"/>
    </row>
    <row r="7" spans="1:14">
      <c r="A7" s="23">
        <v>6</v>
      </c>
      <c r="B7" s="23" t="s">
        <v>565</v>
      </c>
      <c r="C7" s="23" t="s">
        <v>315</v>
      </c>
      <c r="D7" s="23" t="s">
        <v>588</v>
      </c>
      <c r="E7" s="23" t="s">
        <v>75</v>
      </c>
      <c r="F7" s="23">
        <v>3</v>
      </c>
      <c r="G7" s="154">
        <v>5000</v>
      </c>
      <c r="H7" s="15">
        <f t="shared" ref="H7:H12" si="0">G7*F7</f>
        <v>15000</v>
      </c>
      <c r="I7" s="124"/>
      <c r="J7" s="125"/>
    </row>
    <row r="8" spans="1:14">
      <c r="A8" s="23">
        <v>7</v>
      </c>
      <c r="B8" s="23" t="s">
        <v>565</v>
      </c>
      <c r="C8" s="23" t="s">
        <v>578</v>
      </c>
      <c r="D8" s="23" t="s">
        <v>589</v>
      </c>
      <c r="E8" s="23" t="s">
        <v>75</v>
      </c>
      <c r="F8" s="23">
        <v>10</v>
      </c>
      <c r="G8" s="154">
        <v>2500</v>
      </c>
      <c r="H8" s="15">
        <f t="shared" si="0"/>
        <v>25000</v>
      </c>
      <c r="I8" s="124"/>
      <c r="J8" s="125"/>
    </row>
    <row r="9" spans="1:14">
      <c r="A9" s="23">
        <v>8</v>
      </c>
      <c r="B9" s="23" t="s">
        <v>565</v>
      </c>
      <c r="C9" s="23" t="s">
        <v>579</v>
      </c>
      <c r="D9" s="23" t="s">
        <v>590</v>
      </c>
      <c r="E9" s="23" t="s">
        <v>75</v>
      </c>
      <c r="F9" s="23">
        <v>15</v>
      </c>
      <c r="G9" s="154">
        <v>7200</v>
      </c>
      <c r="H9" s="15">
        <f t="shared" si="0"/>
        <v>108000</v>
      </c>
      <c r="I9" s="124"/>
      <c r="J9" s="125"/>
    </row>
    <row r="10" spans="1:14">
      <c r="A10" s="23">
        <v>9</v>
      </c>
      <c r="B10" s="23" t="s">
        <v>565</v>
      </c>
      <c r="C10" s="23" t="s">
        <v>580</v>
      </c>
      <c r="D10" s="23" t="s">
        <v>591</v>
      </c>
      <c r="E10" s="23" t="s">
        <v>75</v>
      </c>
      <c r="F10" s="23">
        <v>10</v>
      </c>
      <c r="G10" s="154">
        <v>7500</v>
      </c>
      <c r="H10" s="15">
        <f>G10*F10</f>
        <v>75000</v>
      </c>
      <c r="I10" s="124"/>
      <c r="J10" s="125"/>
    </row>
    <row r="11" spans="1:14">
      <c r="A11" s="23">
        <v>10</v>
      </c>
      <c r="B11" s="23" t="s">
        <v>565</v>
      </c>
      <c r="C11" s="23" t="s">
        <v>581</v>
      </c>
      <c r="D11" s="23" t="s">
        <v>592</v>
      </c>
      <c r="E11" s="23" t="s">
        <v>75</v>
      </c>
      <c r="F11" s="23">
        <v>3</v>
      </c>
      <c r="G11" s="154">
        <v>6850</v>
      </c>
      <c r="H11" s="15">
        <f>G11*F11</f>
        <v>20550</v>
      </c>
      <c r="I11" s="124"/>
      <c r="J11" s="125"/>
    </row>
    <row r="12" spans="1:14">
      <c r="A12" s="23">
        <v>11</v>
      </c>
      <c r="B12" s="23" t="s">
        <v>565</v>
      </c>
      <c r="C12" s="23" t="s">
        <v>582</v>
      </c>
      <c r="D12" s="23" t="s">
        <v>593</v>
      </c>
      <c r="E12" s="23" t="s">
        <v>75</v>
      </c>
      <c r="F12" s="23">
        <v>2</v>
      </c>
      <c r="G12" s="154">
        <v>30000</v>
      </c>
      <c r="H12" s="15">
        <f t="shared" si="0"/>
        <v>60000</v>
      </c>
      <c r="I12" s="124"/>
      <c r="J12" s="125"/>
    </row>
    <row r="13" spans="1:14">
      <c r="A13" s="23">
        <v>12</v>
      </c>
      <c r="B13" s="397" t="s">
        <v>76</v>
      </c>
      <c r="C13" s="397"/>
      <c r="D13" s="397"/>
      <c r="E13" s="397"/>
      <c r="F13" s="397"/>
      <c r="G13" s="397"/>
      <c r="H13" s="155">
        <f>SUM(H2:H12)</f>
        <v>480950</v>
      </c>
    </row>
    <row r="14" spans="1:14">
      <c r="A14" s="23">
        <v>13</v>
      </c>
      <c r="B14" s="397" t="s">
        <v>563</v>
      </c>
      <c r="C14" s="397"/>
      <c r="D14" s="397"/>
      <c r="E14" s="397"/>
      <c r="F14" s="397"/>
      <c r="G14" s="397"/>
      <c r="H14" s="155">
        <f>H13*18%</f>
        <v>86571</v>
      </c>
    </row>
    <row r="15" spans="1:14">
      <c r="A15" s="23">
        <v>14</v>
      </c>
      <c r="B15" s="397" t="s">
        <v>79</v>
      </c>
      <c r="C15" s="397"/>
      <c r="D15" s="397"/>
      <c r="E15" s="397"/>
      <c r="F15" s="397"/>
      <c r="G15" s="397"/>
      <c r="H15" s="155">
        <f>SUM(H13:H14)</f>
        <v>567521</v>
      </c>
    </row>
    <row r="16" spans="1:14">
      <c r="A16" s="398"/>
      <c r="B16" s="399"/>
      <c r="C16" s="399"/>
      <c r="D16" s="399"/>
      <c r="E16" s="399"/>
      <c r="F16" s="399"/>
      <c r="G16" s="399"/>
      <c r="H16" s="400"/>
    </row>
    <row r="17" spans="1:8" ht="180.95" customHeight="1">
      <c r="A17" s="128" t="s">
        <v>553</v>
      </c>
      <c r="B17" s="360" t="s">
        <v>554</v>
      </c>
      <c r="C17" s="360"/>
      <c r="D17" s="360"/>
      <c r="E17" s="360"/>
      <c r="F17" s="360"/>
      <c r="G17" s="360"/>
      <c r="H17" s="361"/>
    </row>
  </sheetData>
  <mergeCells count="5">
    <mergeCell ref="B13:G13"/>
    <mergeCell ref="B14:G14"/>
    <mergeCell ref="B15:G15"/>
    <mergeCell ref="A16:H16"/>
    <mergeCell ref="B17:H17"/>
  </mergeCells>
  <pageMargins left="0.7" right="0.7" top="0.75" bottom="0.75" header="0.3" footer="0.3"/>
  <pageSetup orientation="portrait" horizontalDpi="4294967292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Sheet56"/>
  <dimension ref="A1:N34"/>
  <sheetViews>
    <sheetView workbookViewId="0">
      <selection activeCell="G29" sqref="A1:G29"/>
    </sheetView>
  </sheetViews>
  <sheetFormatPr defaultColWidth="9.140625" defaultRowHeight="12.75"/>
  <cols>
    <col min="1" max="1" width="5.85546875" style="119" bestFit="1" customWidth="1"/>
    <col min="2" max="2" width="12.5703125" style="119" customWidth="1"/>
    <col min="3" max="3" width="17.42578125" style="119" bestFit="1" customWidth="1"/>
    <col min="4" max="4" width="46.28515625" style="119" customWidth="1"/>
    <col min="5" max="5" width="5" style="119" bestFit="1" customWidth="1"/>
    <col min="6" max="6" width="6.28515625" style="119" bestFit="1" customWidth="1"/>
    <col min="7" max="7" width="12.85546875" style="119" bestFit="1" customWidth="1"/>
    <col min="8" max="8" width="15.42578125" style="119" customWidth="1"/>
    <col min="9" max="9" width="9.28515625" style="119" bestFit="1" customWidth="1"/>
    <col min="10" max="10" width="10.28515625" style="127" bestFit="1" customWidth="1"/>
    <col min="11" max="11" width="9.42578125" style="119" bestFit="1" customWidth="1"/>
    <col min="12" max="16384" width="9.140625" style="119"/>
  </cols>
  <sheetData>
    <row r="1" spans="1:14" ht="25.5">
      <c r="A1" s="19" t="s">
        <v>0</v>
      </c>
      <c r="B1" s="19" t="s">
        <v>268</v>
      </c>
      <c r="C1" s="117" t="s">
        <v>82</v>
      </c>
      <c r="D1" s="117" t="s">
        <v>67</v>
      </c>
      <c r="E1" s="117" t="s">
        <v>3</v>
      </c>
      <c r="F1" s="117" t="s">
        <v>68</v>
      </c>
      <c r="G1" s="152" t="s">
        <v>69</v>
      </c>
      <c r="H1" s="152" t="s">
        <v>527</v>
      </c>
      <c r="J1" s="120" t="s">
        <v>316</v>
      </c>
      <c r="K1" s="119" t="s">
        <v>529</v>
      </c>
      <c r="L1" s="119" t="s">
        <v>532</v>
      </c>
      <c r="N1" s="119" t="s">
        <v>74</v>
      </c>
    </row>
    <row r="2" spans="1:14">
      <c r="A2" s="23">
        <v>1</v>
      </c>
      <c r="B2" s="23" t="s">
        <v>565</v>
      </c>
      <c r="C2" s="23" t="s">
        <v>595</v>
      </c>
      <c r="D2" s="23" t="s">
        <v>596</v>
      </c>
      <c r="E2" s="23" t="s">
        <v>75</v>
      </c>
      <c r="F2" s="23">
        <v>6</v>
      </c>
      <c r="G2" s="154">
        <v>1500</v>
      </c>
      <c r="H2" s="15">
        <f>G2*F2</f>
        <v>9000</v>
      </c>
      <c r="I2" s="124"/>
      <c r="J2" s="125"/>
    </row>
    <row r="3" spans="1:14">
      <c r="A3" s="23">
        <v>2</v>
      </c>
      <c r="B3" s="23" t="s">
        <v>565</v>
      </c>
      <c r="C3" s="23" t="s">
        <v>597</v>
      </c>
      <c r="D3" s="23" t="s">
        <v>598</v>
      </c>
      <c r="E3" s="23" t="s">
        <v>75</v>
      </c>
      <c r="F3" s="23">
        <v>1</v>
      </c>
      <c r="G3" s="154">
        <v>8000</v>
      </c>
      <c r="H3" s="15">
        <f t="shared" ref="H3:H18" si="0">G3*F3</f>
        <v>8000</v>
      </c>
      <c r="I3" s="124"/>
      <c r="J3" s="125"/>
    </row>
    <row r="4" spans="1:14">
      <c r="A4" s="23">
        <v>3</v>
      </c>
      <c r="B4" s="23" t="s">
        <v>565</v>
      </c>
      <c r="C4" s="23" t="s">
        <v>599</v>
      </c>
      <c r="D4" s="23" t="s">
        <v>600</v>
      </c>
      <c r="E4" s="23" t="s">
        <v>75</v>
      </c>
      <c r="F4" s="23">
        <v>50</v>
      </c>
      <c r="G4" s="154">
        <v>15</v>
      </c>
      <c r="H4" s="15">
        <f t="shared" si="0"/>
        <v>750</v>
      </c>
      <c r="I4" s="124"/>
      <c r="J4" s="125"/>
    </row>
    <row r="5" spans="1:14">
      <c r="A5" s="23">
        <v>4</v>
      </c>
      <c r="B5" s="23" t="s">
        <v>565</v>
      </c>
      <c r="C5" s="23" t="s">
        <v>601</v>
      </c>
      <c r="D5" s="23" t="s">
        <v>602</v>
      </c>
      <c r="E5" s="23" t="s">
        <v>75</v>
      </c>
      <c r="F5" s="23">
        <v>100</v>
      </c>
      <c r="G5" s="154">
        <v>15</v>
      </c>
      <c r="H5" s="15">
        <f t="shared" si="0"/>
        <v>1500</v>
      </c>
      <c r="I5" s="124"/>
      <c r="J5" s="125"/>
    </row>
    <row r="6" spans="1:14">
      <c r="A6" s="23">
        <v>5</v>
      </c>
      <c r="B6" s="23" t="s">
        <v>565</v>
      </c>
      <c r="C6" s="23" t="s">
        <v>603</v>
      </c>
      <c r="D6" s="23" t="s">
        <v>604</v>
      </c>
      <c r="E6" s="23" t="s">
        <v>75</v>
      </c>
      <c r="F6" s="23">
        <v>100</v>
      </c>
      <c r="G6" s="154">
        <v>18</v>
      </c>
      <c r="H6" s="15">
        <f t="shared" si="0"/>
        <v>1800</v>
      </c>
      <c r="I6" s="124"/>
      <c r="J6" s="125"/>
    </row>
    <row r="7" spans="1:14">
      <c r="A7" s="23">
        <v>6</v>
      </c>
      <c r="B7" s="23" t="s">
        <v>565</v>
      </c>
      <c r="C7" s="23" t="s">
        <v>605</v>
      </c>
      <c r="D7" s="23" t="s">
        <v>606</v>
      </c>
      <c r="E7" s="23" t="s">
        <v>75</v>
      </c>
      <c r="F7" s="23">
        <v>100</v>
      </c>
      <c r="G7" s="154">
        <v>20</v>
      </c>
      <c r="H7" s="15">
        <f t="shared" si="0"/>
        <v>2000</v>
      </c>
      <c r="I7" s="124"/>
      <c r="J7" s="125"/>
    </row>
    <row r="8" spans="1:14">
      <c r="A8" s="23">
        <v>7</v>
      </c>
      <c r="B8" s="23" t="s">
        <v>565</v>
      </c>
      <c r="C8" s="23" t="s">
        <v>607</v>
      </c>
      <c r="D8" s="23" t="s">
        <v>608</v>
      </c>
      <c r="E8" s="23" t="s">
        <v>75</v>
      </c>
      <c r="F8" s="23">
        <v>100</v>
      </c>
      <c r="G8" s="154">
        <v>25</v>
      </c>
      <c r="H8" s="15">
        <f t="shared" si="0"/>
        <v>2500</v>
      </c>
      <c r="I8" s="124"/>
      <c r="J8" s="125"/>
    </row>
    <row r="9" spans="1:14">
      <c r="A9" s="23">
        <v>8</v>
      </c>
      <c r="B9" s="23" t="s">
        <v>565</v>
      </c>
      <c r="C9" s="23" t="s">
        <v>609</v>
      </c>
      <c r="D9" s="23" t="s">
        <v>610</v>
      </c>
      <c r="E9" s="23" t="s">
        <v>75</v>
      </c>
      <c r="F9" s="23">
        <v>10</v>
      </c>
      <c r="G9" s="154">
        <v>23000</v>
      </c>
      <c r="H9" s="15">
        <f t="shared" si="0"/>
        <v>230000</v>
      </c>
      <c r="I9" s="124"/>
      <c r="J9" s="125"/>
    </row>
    <row r="10" spans="1:14">
      <c r="A10" s="23">
        <v>9</v>
      </c>
      <c r="B10" s="23" t="s">
        <v>565</v>
      </c>
      <c r="C10" s="23" t="s">
        <v>611</v>
      </c>
      <c r="D10" s="23" t="s">
        <v>612</v>
      </c>
      <c r="E10" s="23" t="s">
        <v>75</v>
      </c>
      <c r="F10" s="23">
        <v>10</v>
      </c>
      <c r="G10" s="154">
        <v>23000</v>
      </c>
      <c r="H10" s="15">
        <f t="shared" si="0"/>
        <v>230000</v>
      </c>
      <c r="I10" s="124"/>
      <c r="J10" s="125"/>
    </row>
    <row r="11" spans="1:14">
      <c r="A11" s="23">
        <v>10</v>
      </c>
      <c r="B11" s="23" t="s">
        <v>565</v>
      </c>
      <c r="C11" s="23" t="s">
        <v>613</v>
      </c>
      <c r="D11" s="23" t="s">
        <v>614</v>
      </c>
      <c r="E11" s="23" t="s">
        <v>75</v>
      </c>
      <c r="F11" s="23">
        <v>2</v>
      </c>
      <c r="G11" s="154" t="s">
        <v>116</v>
      </c>
      <c r="H11" s="15">
        <v>0</v>
      </c>
      <c r="I11" s="124"/>
      <c r="J11" s="125"/>
    </row>
    <row r="12" spans="1:14">
      <c r="A12" s="23">
        <v>11</v>
      </c>
      <c r="B12" s="23" t="s">
        <v>565</v>
      </c>
      <c r="C12" s="23" t="s">
        <v>615</v>
      </c>
      <c r="D12" s="23" t="s">
        <v>616</v>
      </c>
      <c r="E12" s="23" t="s">
        <v>75</v>
      </c>
      <c r="F12" s="23">
        <v>2</v>
      </c>
      <c r="G12" s="154">
        <v>24000</v>
      </c>
      <c r="H12" s="15">
        <f t="shared" si="0"/>
        <v>48000</v>
      </c>
      <c r="I12" s="124"/>
      <c r="J12" s="125"/>
    </row>
    <row r="13" spans="1:14">
      <c r="A13" s="23">
        <v>12</v>
      </c>
      <c r="B13" s="23" t="s">
        <v>565</v>
      </c>
      <c r="C13" s="23" t="s">
        <v>617</v>
      </c>
      <c r="D13" s="23" t="s">
        <v>618</v>
      </c>
      <c r="E13" s="23" t="s">
        <v>75</v>
      </c>
      <c r="F13" s="23">
        <v>10</v>
      </c>
      <c r="G13" s="154">
        <v>15000</v>
      </c>
      <c r="H13" s="15">
        <f t="shared" si="0"/>
        <v>150000</v>
      </c>
      <c r="I13" s="124"/>
      <c r="J13" s="125"/>
    </row>
    <row r="14" spans="1:14">
      <c r="A14" s="23">
        <v>13</v>
      </c>
      <c r="B14" s="23" t="s">
        <v>565</v>
      </c>
      <c r="C14" s="23" t="s">
        <v>619</v>
      </c>
      <c r="D14" s="23" t="s">
        <v>620</v>
      </c>
      <c r="E14" s="23" t="s">
        <v>75</v>
      </c>
      <c r="F14" s="23">
        <v>2</v>
      </c>
      <c r="G14" s="154">
        <v>15000</v>
      </c>
      <c r="H14" s="15">
        <f t="shared" si="0"/>
        <v>30000</v>
      </c>
      <c r="I14" s="124"/>
      <c r="J14" s="125"/>
    </row>
    <row r="15" spans="1:14">
      <c r="A15" s="23">
        <v>14</v>
      </c>
      <c r="B15" s="23" t="s">
        <v>565</v>
      </c>
      <c r="C15" s="23" t="s">
        <v>621</v>
      </c>
      <c r="D15" s="23" t="s">
        <v>622</v>
      </c>
      <c r="E15" s="23" t="s">
        <v>75</v>
      </c>
      <c r="F15" s="23">
        <v>2</v>
      </c>
      <c r="G15" s="154">
        <v>2500</v>
      </c>
      <c r="H15" s="15">
        <f t="shared" si="0"/>
        <v>5000</v>
      </c>
      <c r="I15" s="124"/>
      <c r="J15" s="125"/>
    </row>
    <row r="16" spans="1:14">
      <c r="A16" s="23">
        <v>15</v>
      </c>
      <c r="B16" s="23" t="s">
        <v>565</v>
      </c>
      <c r="C16" s="23" t="s">
        <v>623</v>
      </c>
      <c r="D16" s="23" t="s">
        <v>624</v>
      </c>
      <c r="E16" s="23" t="s">
        <v>75</v>
      </c>
      <c r="F16" s="23">
        <v>15</v>
      </c>
      <c r="G16" s="154">
        <v>2000</v>
      </c>
      <c r="H16" s="15">
        <f t="shared" si="0"/>
        <v>30000</v>
      </c>
      <c r="I16" s="124"/>
      <c r="J16" s="125"/>
    </row>
    <row r="17" spans="1:8">
      <c r="A17" s="23">
        <v>16</v>
      </c>
      <c r="B17" s="23" t="s">
        <v>565</v>
      </c>
      <c r="C17" s="23" t="s">
        <v>625</v>
      </c>
      <c r="D17" s="23" t="s">
        <v>626</v>
      </c>
      <c r="E17" s="23" t="s">
        <v>75</v>
      </c>
      <c r="F17" s="23">
        <v>4</v>
      </c>
      <c r="G17" s="154">
        <v>18000</v>
      </c>
      <c r="H17" s="15">
        <f t="shared" si="0"/>
        <v>72000</v>
      </c>
    </row>
    <row r="18" spans="1:8">
      <c r="A18" s="23">
        <v>17</v>
      </c>
      <c r="B18" s="23" t="s">
        <v>565</v>
      </c>
      <c r="C18" s="23" t="s">
        <v>627</v>
      </c>
      <c r="D18" s="23" t="s">
        <v>628</v>
      </c>
      <c r="E18" s="23" t="s">
        <v>75</v>
      </c>
      <c r="F18" s="23">
        <v>6</v>
      </c>
      <c r="G18" s="154">
        <v>3800</v>
      </c>
      <c r="H18" s="15">
        <f t="shared" si="0"/>
        <v>22800</v>
      </c>
    </row>
    <row r="19" spans="1:8">
      <c r="A19" s="23">
        <v>18</v>
      </c>
      <c r="B19" s="23" t="s">
        <v>565</v>
      </c>
      <c r="C19" s="23" t="s">
        <v>629</v>
      </c>
      <c r="D19" s="23" t="s">
        <v>630</v>
      </c>
      <c r="E19" s="23" t="s">
        <v>75</v>
      </c>
      <c r="F19" s="23">
        <v>2</v>
      </c>
      <c r="G19" s="154">
        <v>3000</v>
      </c>
      <c r="H19" s="15">
        <f>G19*F19</f>
        <v>6000</v>
      </c>
    </row>
    <row r="20" spans="1:8">
      <c r="A20" s="23">
        <v>19</v>
      </c>
      <c r="B20" s="23" t="s">
        <v>565</v>
      </c>
      <c r="C20" s="23" t="s">
        <v>629</v>
      </c>
      <c r="D20" s="23" t="s">
        <v>630</v>
      </c>
      <c r="E20" s="23" t="s">
        <v>75</v>
      </c>
      <c r="F20" s="23">
        <v>1</v>
      </c>
      <c r="G20" s="154">
        <v>4000</v>
      </c>
      <c r="H20" s="15">
        <f>G20*F20</f>
        <v>4000</v>
      </c>
    </row>
    <row r="21" spans="1:8">
      <c r="A21" s="23">
        <v>20</v>
      </c>
      <c r="B21" s="23" t="s">
        <v>565</v>
      </c>
      <c r="C21" s="23" t="s">
        <v>631</v>
      </c>
      <c r="D21" s="23" t="s">
        <v>632</v>
      </c>
      <c r="E21" s="23" t="s">
        <v>75</v>
      </c>
      <c r="F21" s="23">
        <v>4</v>
      </c>
      <c r="G21" s="154">
        <v>4500</v>
      </c>
      <c r="H21" s="15">
        <f>G21*F21</f>
        <v>18000</v>
      </c>
    </row>
    <row r="22" spans="1:8">
      <c r="A22" s="23">
        <v>21</v>
      </c>
      <c r="B22" s="23" t="s">
        <v>565</v>
      </c>
      <c r="C22" s="23" t="s">
        <v>633</v>
      </c>
      <c r="D22" s="23" t="s">
        <v>634</v>
      </c>
      <c r="E22" s="23" t="s">
        <v>75</v>
      </c>
      <c r="F22" s="23">
        <v>2</v>
      </c>
      <c r="G22" s="154">
        <v>4500</v>
      </c>
      <c r="H22" s="15">
        <f>G22*F22</f>
        <v>9000</v>
      </c>
    </row>
    <row r="23" spans="1:8">
      <c r="A23" s="23">
        <v>22</v>
      </c>
      <c r="B23" s="23" t="s">
        <v>565</v>
      </c>
      <c r="C23" s="23" t="s">
        <v>635</v>
      </c>
      <c r="D23" s="23" t="s">
        <v>636</v>
      </c>
      <c r="E23" s="23" t="s">
        <v>75</v>
      </c>
      <c r="F23" s="23">
        <v>4</v>
      </c>
      <c r="G23" s="154" t="s">
        <v>116</v>
      </c>
      <c r="H23" s="15">
        <v>0</v>
      </c>
    </row>
    <row r="24" spans="1:8">
      <c r="A24" s="23">
        <v>23</v>
      </c>
      <c r="B24" s="23" t="s">
        <v>565</v>
      </c>
      <c r="C24" s="23" t="s">
        <v>637</v>
      </c>
      <c r="D24" s="23" t="s">
        <v>638</v>
      </c>
      <c r="E24" s="23" t="s">
        <v>75</v>
      </c>
      <c r="F24" s="23">
        <v>3</v>
      </c>
      <c r="G24" s="154">
        <v>45000</v>
      </c>
      <c r="H24" s="15">
        <f>G24*F24</f>
        <v>135000</v>
      </c>
    </row>
    <row r="25" spans="1:8">
      <c r="A25" s="23">
        <v>24</v>
      </c>
      <c r="B25" s="23" t="s">
        <v>565</v>
      </c>
      <c r="C25" s="23" t="s">
        <v>639</v>
      </c>
      <c r="D25" s="23" t="s">
        <v>640</v>
      </c>
      <c r="E25" s="23" t="s">
        <v>75</v>
      </c>
      <c r="F25" s="23">
        <v>20</v>
      </c>
      <c r="G25" s="154" t="s">
        <v>116</v>
      </c>
      <c r="H25" s="15">
        <v>0</v>
      </c>
    </row>
    <row r="26" spans="1:8">
      <c r="A26" s="23">
        <v>25</v>
      </c>
      <c r="B26" s="23" t="s">
        <v>565</v>
      </c>
      <c r="C26" s="23" t="s">
        <v>641</v>
      </c>
      <c r="D26" s="23" t="s">
        <v>642</v>
      </c>
      <c r="E26" s="23" t="s">
        <v>75</v>
      </c>
      <c r="F26" s="23">
        <v>10</v>
      </c>
      <c r="G26" s="154">
        <v>2000</v>
      </c>
      <c r="H26" s="15">
        <f>G26*F26</f>
        <v>20000</v>
      </c>
    </row>
    <row r="27" spans="1:8">
      <c r="A27" s="23">
        <v>26</v>
      </c>
      <c r="B27" s="23" t="s">
        <v>565</v>
      </c>
      <c r="C27" s="23" t="s">
        <v>643</v>
      </c>
      <c r="D27" s="23" t="s">
        <v>644</v>
      </c>
      <c r="E27" s="23" t="s">
        <v>75</v>
      </c>
      <c r="F27" s="23">
        <v>1</v>
      </c>
      <c r="G27" s="154" t="s">
        <v>116</v>
      </c>
      <c r="H27" s="15">
        <v>0</v>
      </c>
    </row>
    <row r="28" spans="1:8">
      <c r="A28" s="23">
        <v>27</v>
      </c>
      <c r="B28" s="23" t="s">
        <v>565</v>
      </c>
      <c r="C28" s="23" t="s">
        <v>645</v>
      </c>
      <c r="D28" s="23" t="s">
        <v>646</v>
      </c>
      <c r="E28" s="23" t="s">
        <v>75</v>
      </c>
      <c r="F28" s="23">
        <v>2</v>
      </c>
      <c r="G28" s="154" t="s">
        <v>116</v>
      </c>
      <c r="H28" s="15">
        <v>0</v>
      </c>
    </row>
    <row r="29" spans="1:8">
      <c r="A29" s="23">
        <v>28</v>
      </c>
      <c r="B29" s="23" t="s">
        <v>565</v>
      </c>
      <c r="C29" s="23" t="s">
        <v>647</v>
      </c>
      <c r="D29" s="23" t="s">
        <v>648</v>
      </c>
      <c r="E29" s="23" t="s">
        <v>75</v>
      </c>
      <c r="F29" s="23">
        <v>2</v>
      </c>
      <c r="G29" s="154" t="s">
        <v>116</v>
      </c>
      <c r="H29" s="15">
        <v>0</v>
      </c>
    </row>
    <row r="30" spans="1:8">
      <c r="A30" s="23">
        <v>29</v>
      </c>
      <c r="B30" s="397" t="s">
        <v>76</v>
      </c>
      <c r="C30" s="397"/>
      <c r="D30" s="397"/>
      <c r="E30" s="397"/>
      <c r="F30" s="397"/>
      <c r="G30" s="397"/>
      <c r="H30" s="155">
        <f>SUM(H2:H29)</f>
        <v>1035350</v>
      </c>
    </row>
    <row r="31" spans="1:8">
      <c r="A31" s="23">
        <v>30</v>
      </c>
      <c r="B31" s="397" t="s">
        <v>563</v>
      </c>
      <c r="C31" s="397"/>
      <c r="D31" s="397"/>
      <c r="E31" s="397"/>
      <c r="F31" s="397"/>
      <c r="G31" s="397"/>
      <c r="H31" s="155">
        <f>H30*18%</f>
        <v>186363</v>
      </c>
    </row>
    <row r="32" spans="1:8">
      <c r="A32" s="23">
        <v>31</v>
      </c>
      <c r="B32" s="397" t="s">
        <v>79</v>
      </c>
      <c r="C32" s="397"/>
      <c r="D32" s="397"/>
      <c r="E32" s="397"/>
      <c r="F32" s="397"/>
      <c r="G32" s="397"/>
      <c r="H32" s="155">
        <f>SUM(H30:H31)</f>
        <v>1221713</v>
      </c>
    </row>
    <row r="33" spans="1:8">
      <c r="A33" s="398"/>
      <c r="B33" s="399"/>
      <c r="C33" s="399"/>
      <c r="D33" s="399"/>
      <c r="E33" s="399"/>
      <c r="F33" s="399"/>
      <c r="G33" s="399"/>
      <c r="H33" s="400"/>
    </row>
    <row r="34" spans="1:8" ht="180.95" customHeight="1">
      <c r="A34" s="128" t="s">
        <v>553</v>
      </c>
      <c r="B34" s="360" t="s">
        <v>554</v>
      </c>
      <c r="C34" s="360"/>
      <c r="D34" s="360"/>
      <c r="E34" s="360"/>
      <c r="F34" s="360"/>
      <c r="G34" s="360"/>
      <c r="H34" s="361"/>
    </row>
  </sheetData>
  <mergeCells count="5">
    <mergeCell ref="B30:G30"/>
    <mergeCell ref="B31:G31"/>
    <mergeCell ref="B32:G32"/>
    <mergeCell ref="A33:H33"/>
    <mergeCell ref="B34:H34"/>
  </mergeCells>
  <pageMargins left="0.7" right="0.7" top="0.75" bottom="0.75" header="0.3" footer="0.3"/>
  <pageSetup orientation="portrait" horizontalDpi="4294967292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57"/>
  <dimension ref="A1:N10"/>
  <sheetViews>
    <sheetView workbookViewId="0">
      <selection activeCell="D4" sqref="D4"/>
    </sheetView>
  </sheetViews>
  <sheetFormatPr defaultColWidth="9.140625" defaultRowHeight="12.75"/>
  <cols>
    <col min="1" max="1" width="5.85546875" style="119" bestFit="1" customWidth="1"/>
    <col min="2" max="2" width="12.5703125" style="119" customWidth="1"/>
    <col min="3" max="3" width="17.42578125" style="119" bestFit="1" customWidth="1"/>
    <col min="4" max="4" width="46.28515625" style="119" customWidth="1"/>
    <col min="5" max="5" width="5" style="119" bestFit="1" customWidth="1"/>
    <col min="6" max="6" width="6.28515625" style="119" bestFit="1" customWidth="1"/>
    <col min="7" max="7" width="12.85546875" style="119" bestFit="1" customWidth="1"/>
    <col min="8" max="8" width="15.42578125" style="119" customWidth="1"/>
    <col min="9" max="9" width="10.5703125" style="119" bestFit="1" customWidth="1"/>
    <col min="10" max="10" width="11.42578125" style="127" bestFit="1" customWidth="1"/>
    <col min="11" max="11" width="9.42578125" style="119" bestFit="1" customWidth="1"/>
    <col min="12" max="16384" width="9.140625" style="119"/>
  </cols>
  <sheetData>
    <row r="1" spans="1:14" ht="25.5">
      <c r="A1" s="19" t="s">
        <v>0</v>
      </c>
      <c r="B1" s="19" t="s">
        <v>268</v>
      </c>
      <c r="C1" s="117" t="s">
        <v>82</v>
      </c>
      <c r="D1" s="117" t="s">
        <v>67</v>
      </c>
      <c r="E1" s="117" t="s">
        <v>3</v>
      </c>
      <c r="F1" s="117" t="s">
        <v>68</v>
      </c>
      <c r="G1" s="152" t="s">
        <v>655</v>
      </c>
      <c r="H1" s="152" t="s">
        <v>656</v>
      </c>
      <c r="I1" s="119" t="s">
        <v>394</v>
      </c>
      <c r="J1" s="120" t="s">
        <v>649</v>
      </c>
      <c r="K1" s="119" t="s">
        <v>529</v>
      </c>
      <c r="L1" s="119" t="s">
        <v>532</v>
      </c>
      <c r="N1" s="119" t="s">
        <v>74</v>
      </c>
    </row>
    <row r="2" spans="1:14" ht="25.5">
      <c r="A2" s="23">
        <v>1</v>
      </c>
      <c r="B2" s="157" t="s">
        <v>565</v>
      </c>
      <c r="C2" s="157" t="s">
        <v>565</v>
      </c>
      <c r="D2" s="57" t="s">
        <v>651</v>
      </c>
      <c r="E2" s="21" t="s">
        <v>75</v>
      </c>
      <c r="F2" s="23">
        <v>1</v>
      </c>
      <c r="G2" s="160">
        <f>I2*1.2</f>
        <v>192000</v>
      </c>
      <c r="H2" s="158">
        <f>G2*F2</f>
        <v>192000</v>
      </c>
      <c r="I2" s="124">
        <v>160000</v>
      </c>
      <c r="J2" s="125">
        <f>1000000/6.4</f>
        <v>156250</v>
      </c>
    </row>
    <row r="3" spans="1:14" ht="25.5">
      <c r="A3" s="23">
        <v>2</v>
      </c>
      <c r="B3" s="157" t="s">
        <v>565</v>
      </c>
      <c r="C3" s="157" t="s">
        <v>565</v>
      </c>
      <c r="D3" s="57" t="s">
        <v>652</v>
      </c>
      <c r="E3" s="21" t="s">
        <v>75</v>
      </c>
      <c r="F3" s="23">
        <v>1</v>
      </c>
      <c r="G3" s="160">
        <f>I3*1.2</f>
        <v>54000</v>
      </c>
      <c r="H3" s="158">
        <f>G3*F3</f>
        <v>54000</v>
      </c>
      <c r="I3" s="124">
        <v>45000</v>
      </c>
      <c r="J3" s="125"/>
    </row>
    <row r="4" spans="1:14" ht="38.25">
      <c r="A4" s="23">
        <v>3</v>
      </c>
      <c r="B4" s="157" t="s">
        <v>565</v>
      </c>
      <c r="C4" s="157" t="s">
        <v>565</v>
      </c>
      <c r="D4" s="57" t="s">
        <v>653</v>
      </c>
      <c r="E4" s="21" t="s">
        <v>75</v>
      </c>
      <c r="F4" s="23">
        <v>1</v>
      </c>
      <c r="G4" s="160">
        <f>I4*1.2</f>
        <v>28800</v>
      </c>
      <c r="H4" s="158">
        <f>G4*F4</f>
        <v>28800</v>
      </c>
      <c r="I4" s="124">
        <v>24000</v>
      </c>
      <c r="J4" s="125">
        <v>20000</v>
      </c>
    </row>
    <row r="5" spans="1:14" ht="25.5">
      <c r="A5" s="23">
        <v>4</v>
      </c>
      <c r="B5" s="157" t="s">
        <v>565</v>
      </c>
      <c r="C5" s="157" t="s">
        <v>565</v>
      </c>
      <c r="D5" s="57" t="s">
        <v>654</v>
      </c>
      <c r="E5" s="21" t="s">
        <v>75</v>
      </c>
      <c r="F5" s="23">
        <v>1</v>
      </c>
      <c r="G5" s="160">
        <f>I5*1.2</f>
        <v>26400</v>
      </c>
      <c r="H5" s="158">
        <f>G5*F5</f>
        <v>26400</v>
      </c>
      <c r="I5" s="124">
        <v>22000</v>
      </c>
      <c r="J5" s="125">
        <v>20000</v>
      </c>
    </row>
    <row r="6" spans="1:14">
      <c r="A6" s="23">
        <v>6</v>
      </c>
      <c r="B6" s="397" t="s">
        <v>76</v>
      </c>
      <c r="C6" s="397"/>
      <c r="D6" s="397"/>
      <c r="E6" s="397"/>
      <c r="F6" s="397"/>
      <c r="G6" s="397"/>
      <c r="H6" s="159">
        <f>SUM(H2:H5)</f>
        <v>301200</v>
      </c>
    </row>
    <row r="7" spans="1:14">
      <c r="A7" s="23">
        <v>7</v>
      </c>
      <c r="B7" s="397" t="s">
        <v>650</v>
      </c>
      <c r="C7" s="397"/>
      <c r="D7" s="397"/>
      <c r="E7" s="397"/>
      <c r="F7" s="397"/>
      <c r="G7" s="397"/>
      <c r="H7" s="159">
        <f>H6*1%</f>
        <v>3012</v>
      </c>
    </row>
    <row r="8" spans="1:14">
      <c r="A8" s="23">
        <v>8</v>
      </c>
      <c r="B8" s="397" t="s">
        <v>657</v>
      </c>
      <c r="C8" s="397"/>
      <c r="D8" s="397"/>
      <c r="E8" s="397"/>
      <c r="F8" s="397"/>
      <c r="G8" s="397"/>
      <c r="H8" s="159">
        <f>SUM(H6:H7)</f>
        <v>304212</v>
      </c>
    </row>
    <row r="9" spans="1:14">
      <c r="A9" s="398"/>
      <c r="B9" s="399"/>
      <c r="C9" s="399"/>
      <c r="D9" s="399"/>
      <c r="E9" s="399"/>
      <c r="F9" s="399"/>
      <c r="G9" s="399"/>
      <c r="H9" s="400"/>
    </row>
    <row r="10" spans="1:14" ht="180.95" customHeight="1">
      <c r="A10" s="128" t="s">
        <v>80</v>
      </c>
      <c r="B10" s="360" t="s">
        <v>658</v>
      </c>
      <c r="C10" s="360"/>
      <c r="D10" s="360"/>
      <c r="E10" s="360"/>
      <c r="F10" s="360"/>
      <c r="G10" s="360"/>
      <c r="H10" s="361"/>
    </row>
  </sheetData>
  <mergeCells count="5">
    <mergeCell ref="B6:G6"/>
    <mergeCell ref="B8:G8"/>
    <mergeCell ref="A9:H9"/>
    <mergeCell ref="B10:H10"/>
    <mergeCell ref="B7:G7"/>
  </mergeCells>
  <pageMargins left="0.7" right="0.7" top="0.75" bottom="0.75" header="0.3" footer="0.3"/>
  <pageSetup orientation="portrait" horizontalDpi="4294967292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58"/>
  <dimension ref="A1:N36"/>
  <sheetViews>
    <sheetView topLeftCell="A13" workbookViewId="0">
      <selection activeCell="C16" sqref="C16"/>
    </sheetView>
  </sheetViews>
  <sheetFormatPr defaultColWidth="9.140625" defaultRowHeight="12.75"/>
  <cols>
    <col min="1" max="1" width="5.85546875" style="119" bestFit="1" customWidth="1"/>
    <col min="2" max="2" width="12.5703125" style="119" customWidth="1"/>
    <col min="3" max="3" width="17.42578125" style="119" bestFit="1" customWidth="1"/>
    <col min="4" max="4" width="46.28515625" style="119" customWidth="1"/>
    <col min="5" max="5" width="5" style="119" bestFit="1" customWidth="1"/>
    <col min="6" max="6" width="6.28515625" style="119" bestFit="1" customWidth="1"/>
    <col min="7" max="7" width="12.85546875" style="163" bestFit="1" customWidth="1"/>
    <col min="8" max="8" width="15.42578125" style="163" customWidth="1"/>
    <col min="9" max="9" width="10.5703125" style="119" bestFit="1" customWidth="1"/>
    <col min="10" max="10" width="11.42578125" style="127" bestFit="1" customWidth="1"/>
    <col min="11" max="11" width="9.42578125" style="119" bestFit="1" customWidth="1"/>
    <col min="12" max="16384" width="9.140625" style="119"/>
  </cols>
  <sheetData>
    <row r="1" spans="1:14" ht="25.5">
      <c r="A1" s="19" t="s">
        <v>0</v>
      </c>
      <c r="B1" s="19" t="s">
        <v>268</v>
      </c>
      <c r="C1" s="117" t="s">
        <v>82</v>
      </c>
      <c r="D1" s="117" t="s">
        <v>67</v>
      </c>
      <c r="E1" s="117" t="s">
        <v>3</v>
      </c>
      <c r="F1" s="117" t="s">
        <v>68</v>
      </c>
      <c r="G1" s="161" t="s">
        <v>69</v>
      </c>
      <c r="H1" s="161" t="s">
        <v>527</v>
      </c>
      <c r="I1" s="119" t="s">
        <v>394</v>
      </c>
      <c r="J1" s="120" t="s">
        <v>649</v>
      </c>
      <c r="K1" s="119" t="s">
        <v>145</v>
      </c>
      <c r="L1" s="119" t="s">
        <v>532</v>
      </c>
      <c r="N1" s="119" t="s">
        <v>74</v>
      </c>
    </row>
    <row r="2" spans="1:14" ht="76.5">
      <c r="A2" s="23">
        <v>1</v>
      </c>
      <c r="B2" s="157" t="s">
        <v>565</v>
      </c>
      <c r="C2" s="157" t="s">
        <v>659</v>
      </c>
      <c r="D2" s="57" t="s">
        <v>681</v>
      </c>
      <c r="E2" s="21" t="s">
        <v>75</v>
      </c>
      <c r="F2" s="23">
        <v>2</v>
      </c>
      <c r="G2" s="154">
        <f>I2*88*1.3</f>
        <v>800800</v>
      </c>
      <c r="H2" s="15">
        <f>G2*F2</f>
        <v>1601600</v>
      </c>
      <c r="I2" s="124">
        <v>7000</v>
      </c>
      <c r="J2" s="125"/>
    </row>
    <row r="3" spans="1:14" ht="51">
      <c r="A3" s="23">
        <v>2</v>
      </c>
      <c r="B3" s="157" t="s">
        <v>565</v>
      </c>
      <c r="C3" s="157" t="s">
        <v>660</v>
      </c>
      <c r="D3" s="57" t="s">
        <v>682</v>
      </c>
      <c r="E3" s="21" t="s">
        <v>75</v>
      </c>
      <c r="F3" s="23">
        <v>5</v>
      </c>
      <c r="G3" s="154">
        <f>I3*88*1.3</f>
        <v>33748</v>
      </c>
      <c r="H3" s="15">
        <f>G3*F3</f>
        <v>168740</v>
      </c>
      <c r="I3" s="124">
        <f>K3</f>
        <v>295</v>
      </c>
      <c r="J3" s="125"/>
      <c r="K3" s="119">
        <v>295</v>
      </c>
    </row>
    <row r="4" spans="1:14" ht="76.5">
      <c r="A4" s="23">
        <v>3</v>
      </c>
      <c r="B4" s="157" t="s">
        <v>565</v>
      </c>
      <c r="C4" s="157" t="s">
        <v>661</v>
      </c>
      <c r="D4" s="57" t="s">
        <v>683</v>
      </c>
      <c r="E4" s="21" t="s">
        <v>75</v>
      </c>
      <c r="F4" s="23">
        <v>1</v>
      </c>
      <c r="G4" s="154">
        <f t="shared" ref="G4:G15" si="0">I4*88*1.3</f>
        <v>892320</v>
      </c>
      <c r="H4" s="15">
        <f t="shared" ref="H4:H15" si="1">G4*F4</f>
        <v>892320</v>
      </c>
      <c r="I4" s="124">
        <f>K4</f>
        <v>7800</v>
      </c>
      <c r="J4" s="125"/>
      <c r="K4" s="119">
        <v>7800</v>
      </c>
    </row>
    <row r="5" spans="1:14" ht="63.75">
      <c r="A5" s="23">
        <v>4</v>
      </c>
      <c r="B5" s="157" t="s">
        <v>565</v>
      </c>
      <c r="C5" s="157" t="s">
        <v>662</v>
      </c>
      <c r="D5" s="57" t="s">
        <v>684</v>
      </c>
      <c r="E5" s="21" t="s">
        <v>75</v>
      </c>
      <c r="F5" s="23">
        <v>3</v>
      </c>
      <c r="G5" s="154">
        <f t="shared" si="0"/>
        <v>36608</v>
      </c>
      <c r="H5" s="15">
        <f t="shared" si="1"/>
        <v>109824</v>
      </c>
      <c r="I5" s="124">
        <f>K5</f>
        <v>320</v>
      </c>
      <c r="J5" s="125"/>
      <c r="K5" s="119">
        <v>320</v>
      </c>
    </row>
    <row r="6" spans="1:14" ht="51">
      <c r="A6" s="23">
        <v>5</v>
      </c>
      <c r="B6" s="157" t="s">
        <v>565</v>
      </c>
      <c r="C6" s="157" t="s">
        <v>663</v>
      </c>
      <c r="D6" s="57" t="s">
        <v>685</v>
      </c>
      <c r="E6" s="21" t="s">
        <v>75</v>
      </c>
      <c r="F6" s="23">
        <v>6</v>
      </c>
      <c r="G6" s="154">
        <f t="shared" si="0"/>
        <v>29744</v>
      </c>
      <c r="H6" s="15">
        <f t="shared" si="1"/>
        <v>178464</v>
      </c>
      <c r="I6" s="124">
        <v>260</v>
      </c>
      <c r="J6" s="125"/>
    </row>
    <row r="7" spans="1:14" ht="51">
      <c r="A7" s="23">
        <v>6</v>
      </c>
      <c r="B7" s="157" t="s">
        <v>565</v>
      </c>
      <c r="C7" s="157" t="s">
        <v>664</v>
      </c>
      <c r="D7" s="57" t="s">
        <v>686</v>
      </c>
      <c r="E7" s="21" t="s">
        <v>75</v>
      </c>
      <c r="F7" s="23">
        <v>4</v>
      </c>
      <c r="G7" s="154">
        <f t="shared" si="0"/>
        <v>10296</v>
      </c>
      <c r="H7" s="15">
        <f t="shared" si="1"/>
        <v>41184</v>
      </c>
      <c r="I7" s="124">
        <f>K7</f>
        <v>90</v>
      </c>
      <c r="J7" s="125"/>
      <c r="K7" s="119">
        <v>90</v>
      </c>
    </row>
    <row r="8" spans="1:14" ht="63.75">
      <c r="A8" s="23">
        <v>7</v>
      </c>
      <c r="B8" s="157" t="s">
        <v>565</v>
      </c>
      <c r="C8" s="157" t="s">
        <v>665</v>
      </c>
      <c r="D8" s="57" t="s">
        <v>687</v>
      </c>
      <c r="E8" s="21" t="s">
        <v>75</v>
      </c>
      <c r="F8" s="23">
        <v>6</v>
      </c>
      <c r="G8" s="154">
        <f t="shared" si="0"/>
        <v>10296</v>
      </c>
      <c r="H8" s="15">
        <f t="shared" si="1"/>
        <v>61776</v>
      </c>
      <c r="I8" s="124">
        <f>K8</f>
        <v>90</v>
      </c>
      <c r="J8" s="125"/>
      <c r="K8" s="119">
        <v>90</v>
      </c>
    </row>
    <row r="9" spans="1:14" ht="38.25">
      <c r="A9" s="23">
        <v>8</v>
      </c>
      <c r="B9" s="157" t="s">
        <v>565</v>
      </c>
      <c r="C9" s="157" t="s">
        <v>666</v>
      </c>
      <c r="D9" s="57" t="s">
        <v>688</v>
      </c>
      <c r="E9" s="21" t="s">
        <v>75</v>
      </c>
      <c r="F9" s="23">
        <v>1</v>
      </c>
      <c r="G9" s="154">
        <f t="shared" si="0"/>
        <v>50336</v>
      </c>
      <c r="H9" s="15">
        <f t="shared" si="1"/>
        <v>50336</v>
      </c>
      <c r="I9" s="124">
        <f>K9</f>
        <v>440</v>
      </c>
      <c r="J9" s="125"/>
      <c r="K9" s="119">
        <v>440</v>
      </c>
    </row>
    <row r="10" spans="1:14" ht="63.75">
      <c r="A10" s="23">
        <v>9</v>
      </c>
      <c r="B10" s="157" t="s">
        <v>565</v>
      </c>
      <c r="C10" s="157" t="s">
        <v>667</v>
      </c>
      <c r="D10" s="57" t="s">
        <v>689</v>
      </c>
      <c r="E10" s="21" t="s">
        <v>75</v>
      </c>
      <c r="F10" s="23">
        <v>5</v>
      </c>
      <c r="G10" s="154">
        <f t="shared" si="0"/>
        <v>10296</v>
      </c>
      <c r="H10" s="15">
        <f t="shared" si="1"/>
        <v>51480</v>
      </c>
      <c r="I10" s="124">
        <f>K10</f>
        <v>90</v>
      </c>
      <c r="J10" s="125"/>
      <c r="K10" s="119">
        <v>90</v>
      </c>
    </row>
    <row r="11" spans="1:14" ht="38.25">
      <c r="A11" s="23">
        <v>10</v>
      </c>
      <c r="B11" s="157" t="s">
        <v>565</v>
      </c>
      <c r="C11" s="157" t="s">
        <v>668</v>
      </c>
      <c r="D11" s="57" t="s">
        <v>690</v>
      </c>
      <c r="E11" s="21" t="s">
        <v>75</v>
      </c>
      <c r="F11" s="23">
        <v>6</v>
      </c>
      <c r="G11" s="154">
        <v>8700</v>
      </c>
      <c r="H11" s="15">
        <f t="shared" si="1"/>
        <v>52200</v>
      </c>
      <c r="I11" s="124"/>
      <c r="J11" s="125"/>
    </row>
    <row r="12" spans="1:14" ht="89.25">
      <c r="A12" s="23">
        <v>11</v>
      </c>
      <c r="B12" s="157" t="s">
        <v>565</v>
      </c>
      <c r="C12" s="157" t="s">
        <v>669</v>
      </c>
      <c r="D12" s="57" t="s">
        <v>691</v>
      </c>
      <c r="E12" s="21" t="s">
        <v>75</v>
      </c>
      <c r="F12" s="23">
        <v>4</v>
      </c>
      <c r="G12" s="154">
        <f t="shared" si="0"/>
        <v>320320</v>
      </c>
      <c r="H12" s="15">
        <f t="shared" si="1"/>
        <v>1281280</v>
      </c>
      <c r="I12" s="124">
        <v>2800</v>
      </c>
      <c r="J12" s="125"/>
      <c r="K12" s="119">
        <v>2600</v>
      </c>
    </row>
    <row r="13" spans="1:14" ht="165.75">
      <c r="A13" s="23">
        <v>12</v>
      </c>
      <c r="B13" s="157" t="s">
        <v>565</v>
      </c>
      <c r="C13" s="157" t="s">
        <v>670</v>
      </c>
      <c r="D13" s="57" t="s">
        <v>692</v>
      </c>
      <c r="E13" s="21" t="s">
        <v>75</v>
      </c>
      <c r="F13" s="23">
        <v>8</v>
      </c>
      <c r="G13" s="154">
        <f t="shared" si="0"/>
        <v>62920</v>
      </c>
      <c r="H13" s="15">
        <f t="shared" si="1"/>
        <v>503360</v>
      </c>
      <c r="I13" s="124">
        <v>550</v>
      </c>
      <c r="J13" s="125">
        <v>550</v>
      </c>
    </row>
    <row r="14" spans="1:14" ht="114.75">
      <c r="A14" s="23">
        <v>13</v>
      </c>
      <c r="B14" s="157" t="s">
        <v>565</v>
      </c>
      <c r="C14" s="157" t="s">
        <v>671</v>
      </c>
      <c r="D14" s="57" t="s">
        <v>693</v>
      </c>
      <c r="E14" s="21" t="s">
        <v>221</v>
      </c>
      <c r="F14" s="23">
        <v>2</v>
      </c>
      <c r="G14" s="154">
        <f t="shared" si="0"/>
        <v>205920</v>
      </c>
      <c r="H14" s="15">
        <f t="shared" si="1"/>
        <v>411840</v>
      </c>
      <c r="I14" s="124">
        <v>1800</v>
      </c>
      <c r="J14" s="125">
        <v>1625</v>
      </c>
    </row>
    <row r="15" spans="1:14" ht="114.75">
      <c r="A15" s="23">
        <v>14</v>
      </c>
      <c r="B15" s="157" t="s">
        <v>565</v>
      </c>
      <c r="C15" s="157" t="s">
        <v>672</v>
      </c>
      <c r="D15" s="57" t="s">
        <v>694</v>
      </c>
      <c r="E15" s="21" t="s">
        <v>221</v>
      </c>
      <c r="F15" s="23">
        <v>4</v>
      </c>
      <c r="G15" s="154">
        <f t="shared" si="0"/>
        <v>205920</v>
      </c>
      <c r="H15" s="15">
        <f t="shared" si="1"/>
        <v>823680</v>
      </c>
      <c r="I15" s="124">
        <v>1800</v>
      </c>
      <c r="J15" s="125">
        <v>1625</v>
      </c>
    </row>
    <row r="16" spans="1:14" ht="114.75">
      <c r="A16" s="23">
        <v>15</v>
      </c>
      <c r="B16" s="157" t="s">
        <v>565</v>
      </c>
      <c r="C16" s="157" t="s">
        <v>673</v>
      </c>
      <c r="D16" s="57" t="s">
        <v>695</v>
      </c>
      <c r="E16" s="21" t="s">
        <v>221</v>
      </c>
      <c r="F16" s="23">
        <v>2</v>
      </c>
      <c r="G16" s="154">
        <f>I16*88*1.3</f>
        <v>228800</v>
      </c>
      <c r="H16" s="15">
        <f>G16*F16</f>
        <v>457600</v>
      </c>
      <c r="I16" s="124">
        <v>2000</v>
      </c>
      <c r="J16" s="125">
        <v>1760</v>
      </c>
    </row>
    <row r="17" spans="1:11" ht="114.75">
      <c r="A17" s="23">
        <v>16</v>
      </c>
      <c r="B17" s="157" t="s">
        <v>565</v>
      </c>
      <c r="C17" s="157" t="s">
        <v>674</v>
      </c>
      <c r="D17" s="57" t="s">
        <v>696</v>
      </c>
      <c r="E17" s="21" t="s">
        <v>221</v>
      </c>
      <c r="F17" s="23">
        <v>4</v>
      </c>
      <c r="G17" s="154">
        <f>I17*88*1.3</f>
        <v>251680</v>
      </c>
      <c r="H17" s="15">
        <f>G17*F17</f>
        <v>1006720</v>
      </c>
      <c r="I17" s="124">
        <v>2200</v>
      </c>
      <c r="J17" s="125">
        <v>1955</v>
      </c>
    </row>
    <row r="18" spans="1:11" ht="76.5">
      <c r="A18" s="23">
        <v>17</v>
      </c>
      <c r="B18" s="157" t="s">
        <v>565</v>
      </c>
      <c r="C18" s="157" t="s">
        <v>675</v>
      </c>
      <c r="D18" s="57" t="s">
        <v>697</v>
      </c>
      <c r="E18" s="21" t="s">
        <v>75</v>
      </c>
      <c r="F18" s="23">
        <v>30</v>
      </c>
      <c r="G18" s="154">
        <f>I18*88*1.3</f>
        <v>50336</v>
      </c>
      <c r="H18" s="15">
        <f>G18*F18</f>
        <v>1510080</v>
      </c>
      <c r="I18" s="124">
        <f>K18</f>
        <v>440</v>
      </c>
      <c r="J18" s="125"/>
      <c r="K18" s="119">
        <v>440</v>
      </c>
    </row>
    <row r="19" spans="1:11" ht="76.5">
      <c r="A19" s="23">
        <v>18</v>
      </c>
      <c r="B19" s="157" t="s">
        <v>565</v>
      </c>
      <c r="C19" s="157" t="s">
        <v>216</v>
      </c>
      <c r="D19" s="57" t="s">
        <v>698</v>
      </c>
      <c r="E19" s="21" t="s">
        <v>75</v>
      </c>
      <c r="F19" s="23">
        <v>10</v>
      </c>
      <c r="G19" s="154">
        <f t="shared" ref="G19:G25" si="2">I19*88*1.3</f>
        <v>50336</v>
      </c>
      <c r="H19" s="15">
        <f t="shared" ref="H19:H25" si="3">G19*F19</f>
        <v>503360</v>
      </c>
      <c r="I19" s="124">
        <f>K19</f>
        <v>440</v>
      </c>
      <c r="J19" s="125"/>
      <c r="K19" s="119">
        <v>440</v>
      </c>
    </row>
    <row r="20" spans="1:11" ht="76.5">
      <c r="A20" s="23">
        <v>19</v>
      </c>
      <c r="B20" s="157" t="s">
        <v>565</v>
      </c>
      <c r="C20" s="157" t="s">
        <v>215</v>
      </c>
      <c r="D20" s="57" t="s">
        <v>699</v>
      </c>
      <c r="E20" s="21" t="s">
        <v>75</v>
      </c>
      <c r="F20" s="23">
        <v>10</v>
      </c>
      <c r="G20" s="154">
        <f t="shared" si="2"/>
        <v>50336</v>
      </c>
      <c r="H20" s="15">
        <f t="shared" si="3"/>
        <v>503360</v>
      </c>
      <c r="I20" s="124">
        <f>K20</f>
        <v>440</v>
      </c>
      <c r="J20" s="125"/>
      <c r="K20" s="119">
        <v>440</v>
      </c>
    </row>
    <row r="21" spans="1:11" ht="51">
      <c r="A21" s="23">
        <v>20</v>
      </c>
      <c r="B21" s="157" t="s">
        <v>565</v>
      </c>
      <c r="C21" s="157" t="s">
        <v>676</v>
      </c>
      <c r="D21" s="57" t="s">
        <v>700</v>
      </c>
      <c r="E21" s="21" t="s">
        <v>75</v>
      </c>
      <c r="F21" s="23">
        <v>30</v>
      </c>
      <c r="G21" s="154">
        <v>10000</v>
      </c>
      <c r="H21" s="15">
        <f t="shared" si="3"/>
        <v>300000</v>
      </c>
      <c r="I21" s="124"/>
      <c r="J21" s="125"/>
    </row>
    <row r="22" spans="1:11" ht="38.25">
      <c r="A22" s="23">
        <v>21</v>
      </c>
      <c r="B22" s="157" t="s">
        <v>565</v>
      </c>
      <c r="C22" s="157" t="s">
        <v>677</v>
      </c>
      <c r="D22" s="57" t="s">
        <v>701</v>
      </c>
      <c r="E22" s="21" t="s">
        <v>75</v>
      </c>
      <c r="F22" s="23">
        <v>30</v>
      </c>
      <c r="G22" s="154">
        <f t="shared" si="2"/>
        <v>11440</v>
      </c>
      <c r="H22" s="15">
        <f t="shared" si="3"/>
        <v>343200</v>
      </c>
      <c r="I22" s="124">
        <v>100</v>
      </c>
      <c r="J22" s="125">
        <v>92</v>
      </c>
    </row>
    <row r="23" spans="1:11" ht="25.5">
      <c r="A23" s="23">
        <v>22</v>
      </c>
      <c r="B23" s="157" t="s">
        <v>565</v>
      </c>
      <c r="C23" s="157" t="s">
        <v>678</v>
      </c>
      <c r="D23" s="57" t="s">
        <v>702</v>
      </c>
      <c r="E23" s="21" t="s">
        <v>75</v>
      </c>
      <c r="F23" s="23">
        <v>20</v>
      </c>
      <c r="G23" s="154">
        <f t="shared" si="2"/>
        <v>4576</v>
      </c>
      <c r="H23" s="15">
        <f t="shared" si="3"/>
        <v>91520</v>
      </c>
      <c r="I23" s="124">
        <v>40</v>
      </c>
      <c r="J23" s="125">
        <v>75</v>
      </c>
    </row>
    <row r="24" spans="1:11" ht="38.25">
      <c r="A24" s="23">
        <v>23</v>
      </c>
      <c r="B24" s="157" t="s">
        <v>565</v>
      </c>
      <c r="C24" s="157" t="s">
        <v>666</v>
      </c>
      <c r="D24" s="57" t="s">
        <v>688</v>
      </c>
      <c r="E24" s="21" t="s">
        <v>75</v>
      </c>
      <c r="F24" s="23">
        <v>15</v>
      </c>
      <c r="G24" s="154">
        <f t="shared" si="2"/>
        <v>50336</v>
      </c>
      <c r="H24" s="15">
        <f t="shared" si="3"/>
        <v>755040</v>
      </c>
      <c r="I24" s="124">
        <f>K24</f>
        <v>440</v>
      </c>
      <c r="J24" s="125"/>
      <c r="K24" s="119">
        <v>440</v>
      </c>
    </row>
    <row r="25" spans="1:11" ht="89.25">
      <c r="A25" s="23">
        <v>24</v>
      </c>
      <c r="B25" s="157" t="s">
        <v>565</v>
      </c>
      <c r="C25" s="157" t="s">
        <v>669</v>
      </c>
      <c r="D25" s="57" t="s">
        <v>691</v>
      </c>
      <c r="E25" s="21" t="s">
        <v>75</v>
      </c>
      <c r="F25" s="23">
        <v>4</v>
      </c>
      <c r="G25" s="154">
        <f t="shared" si="2"/>
        <v>320320</v>
      </c>
      <c r="H25" s="15">
        <f t="shared" si="3"/>
        <v>1281280</v>
      </c>
      <c r="I25" s="124">
        <v>2800</v>
      </c>
      <c r="J25" s="125"/>
      <c r="K25" s="119">
        <v>2600</v>
      </c>
    </row>
    <row r="26" spans="1:11" ht="51">
      <c r="A26" s="23">
        <v>25</v>
      </c>
      <c r="B26" s="157" t="s">
        <v>565</v>
      </c>
      <c r="C26" s="157" t="s">
        <v>663</v>
      </c>
      <c r="D26" s="57" t="s">
        <v>685</v>
      </c>
      <c r="E26" s="21" t="s">
        <v>75</v>
      </c>
      <c r="F26" s="23">
        <v>2</v>
      </c>
      <c r="G26" s="154">
        <f>I26*88*1.3</f>
        <v>29744</v>
      </c>
      <c r="H26" s="15">
        <f t="shared" ref="H26:H31" si="4">G26*F26</f>
        <v>59488</v>
      </c>
      <c r="I26" s="124">
        <v>260</v>
      </c>
      <c r="J26" s="125"/>
    </row>
    <row r="27" spans="1:11" ht="38.25">
      <c r="A27" s="23">
        <v>26</v>
      </c>
      <c r="B27" s="157" t="s">
        <v>565</v>
      </c>
      <c r="C27" s="157" t="s">
        <v>668</v>
      </c>
      <c r="D27" s="57" t="s">
        <v>690</v>
      </c>
      <c r="E27" s="21" t="s">
        <v>75</v>
      </c>
      <c r="F27" s="23">
        <v>6</v>
      </c>
      <c r="G27" s="154">
        <v>8700</v>
      </c>
      <c r="H27" s="15">
        <f t="shared" si="4"/>
        <v>52200</v>
      </c>
      <c r="I27" s="124"/>
      <c r="J27" s="125"/>
    </row>
    <row r="28" spans="1:11" ht="51">
      <c r="A28" s="23">
        <v>27</v>
      </c>
      <c r="B28" s="157" t="s">
        <v>565</v>
      </c>
      <c r="C28" s="157" t="s">
        <v>679</v>
      </c>
      <c r="D28" s="57" t="s">
        <v>703</v>
      </c>
      <c r="E28" s="21" t="s">
        <v>75</v>
      </c>
      <c r="F28" s="23">
        <v>12</v>
      </c>
      <c r="G28" s="154">
        <v>9500</v>
      </c>
      <c r="H28" s="15">
        <f t="shared" si="4"/>
        <v>114000</v>
      </c>
      <c r="I28" s="124"/>
      <c r="J28" s="125"/>
    </row>
    <row r="29" spans="1:11" ht="127.5">
      <c r="A29" s="23">
        <v>28</v>
      </c>
      <c r="B29" s="157" t="s">
        <v>565</v>
      </c>
      <c r="C29" s="157" t="s">
        <v>680</v>
      </c>
      <c r="D29" s="57" t="s">
        <v>704</v>
      </c>
      <c r="E29" s="21" t="s">
        <v>75</v>
      </c>
      <c r="F29" s="23">
        <v>4</v>
      </c>
      <c r="G29" s="154">
        <f>I29*88*1.3</f>
        <v>1144000</v>
      </c>
      <c r="H29" s="15">
        <f t="shared" si="4"/>
        <v>4576000</v>
      </c>
      <c r="I29" s="124">
        <v>10000</v>
      </c>
      <c r="J29" s="125"/>
      <c r="K29" s="119">
        <v>9800</v>
      </c>
    </row>
    <row r="30" spans="1:11" ht="25.5">
      <c r="A30" s="23">
        <v>29</v>
      </c>
      <c r="B30" s="157" t="s">
        <v>565</v>
      </c>
      <c r="C30" s="157" t="s">
        <v>705</v>
      </c>
      <c r="D30" s="57" t="s">
        <v>706</v>
      </c>
      <c r="E30" s="21" t="s">
        <v>75</v>
      </c>
      <c r="F30" s="23">
        <v>10</v>
      </c>
      <c r="G30" s="154">
        <f>I30*88*1.3</f>
        <v>4576</v>
      </c>
      <c r="H30" s="15">
        <f t="shared" si="4"/>
        <v>45760</v>
      </c>
      <c r="I30" s="124">
        <v>40</v>
      </c>
      <c r="J30" s="125"/>
    </row>
    <row r="31" spans="1:11" ht="25.5">
      <c r="A31" s="23">
        <v>30</v>
      </c>
      <c r="B31" s="157" t="s">
        <v>565</v>
      </c>
      <c r="C31" s="157" t="s">
        <v>705</v>
      </c>
      <c r="D31" s="57" t="s">
        <v>706</v>
      </c>
      <c r="E31" s="21" t="s">
        <v>75</v>
      </c>
      <c r="F31" s="23">
        <v>10</v>
      </c>
      <c r="G31" s="154">
        <f>I31*88*1.3</f>
        <v>4576</v>
      </c>
      <c r="H31" s="15">
        <f t="shared" si="4"/>
        <v>45760</v>
      </c>
      <c r="I31" s="124">
        <v>40</v>
      </c>
      <c r="J31" s="125"/>
    </row>
    <row r="32" spans="1:11">
      <c r="A32" s="23">
        <v>31</v>
      </c>
      <c r="B32" s="373" t="s">
        <v>76</v>
      </c>
      <c r="C32" s="407"/>
      <c r="D32" s="407"/>
      <c r="E32" s="407"/>
      <c r="F32" s="407"/>
      <c r="G32" s="374"/>
      <c r="H32" s="162">
        <f>SUM(H2:H31)</f>
        <v>17873452</v>
      </c>
    </row>
    <row r="33" spans="1:8">
      <c r="A33" s="23">
        <v>32</v>
      </c>
      <c r="B33" s="373" t="s">
        <v>650</v>
      </c>
      <c r="C33" s="407"/>
      <c r="D33" s="407"/>
      <c r="E33" s="407"/>
      <c r="F33" s="407"/>
      <c r="G33" s="374"/>
      <c r="H33" s="162">
        <f>H32*18%</f>
        <v>3217221.36</v>
      </c>
    </row>
    <row r="34" spans="1:8">
      <c r="A34" s="23">
        <v>33</v>
      </c>
      <c r="B34" s="373" t="s">
        <v>657</v>
      </c>
      <c r="C34" s="407"/>
      <c r="D34" s="407"/>
      <c r="E34" s="407"/>
      <c r="F34" s="407"/>
      <c r="G34" s="374"/>
      <c r="H34" s="162">
        <f>SUM(H32:H33)</f>
        <v>21090673.359999999</v>
      </c>
    </row>
    <row r="35" spans="1:8">
      <c r="A35" s="408"/>
      <c r="B35" s="409"/>
      <c r="C35" s="409"/>
      <c r="D35" s="409"/>
      <c r="E35" s="409"/>
      <c r="F35" s="409"/>
      <c r="G35" s="409"/>
      <c r="H35" s="410"/>
    </row>
    <row r="36" spans="1:8" ht="180.95" customHeight="1">
      <c r="A36" s="128" t="s">
        <v>80</v>
      </c>
      <c r="B36" s="360" t="s">
        <v>658</v>
      </c>
      <c r="C36" s="360"/>
      <c r="D36" s="360"/>
      <c r="E36" s="360"/>
      <c r="F36" s="360"/>
      <c r="G36" s="360"/>
      <c r="H36" s="361"/>
    </row>
  </sheetData>
  <mergeCells count="5">
    <mergeCell ref="B32:G32"/>
    <mergeCell ref="B33:G33"/>
    <mergeCell ref="B34:G34"/>
    <mergeCell ref="A35:H35"/>
    <mergeCell ref="B36:H36"/>
  </mergeCells>
  <pageMargins left="0.7" right="0.7" top="0.75" bottom="0.75" header="0.3" footer="0.3"/>
  <pageSetup orientation="portrait" horizontalDpi="4294967292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Sheet59"/>
  <dimension ref="A1:N15"/>
  <sheetViews>
    <sheetView topLeftCell="A4" workbookViewId="0">
      <selection activeCell="D4" sqref="D4"/>
    </sheetView>
  </sheetViews>
  <sheetFormatPr defaultColWidth="9.140625" defaultRowHeight="12.75"/>
  <cols>
    <col min="1" max="1" width="5.85546875" style="119" bestFit="1" customWidth="1"/>
    <col min="2" max="2" width="12.5703125" style="119" customWidth="1"/>
    <col min="3" max="3" width="17.42578125" style="119" bestFit="1" customWidth="1"/>
    <col min="4" max="4" width="46.28515625" style="119" customWidth="1"/>
    <col min="5" max="5" width="5" style="119" bestFit="1" customWidth="1"/>
    <col min="6" max="6" width="6.28515625" style="119" bestFit="1" customWidth="1"/>
    <col min="7" max="7" width="12.85546875" style="163" bestFit="1" customWidth="1"/>
    <col min="8" max="8" width="15.42578125" style="163" customWidth="1"/>
    <col min="9" max="9" width="10.5703125" style="119" bestFit="1" customWidth="1"/>
    <col min="10" max="10" width="11.42578125" style="127" bestFit="1" customWidth="1"/>
    <col min="11" max="11" width="9.42578125" style="119" bestFit="1" customWidth="1"/>
    <col min="12" max="16384" width="9.140625" style="119"/>
  </cols>
  <sheetData>
    <row r="1" spans="1:14" ht="25.5">
      <c r="A1" s="19" t="s">
        <v>0</v>
      </c>
      <c r="B1" s="19" t="s">
        <v>268</v>
      </c>
      <c r="C1" s="117" t="s">
        <v>82</v>
      </c>
      <c r="D1" s="117" t="s">
        <v>67</v>
      </c>
      <c r="E1" s="117" t="s">
        <v>3</v>
      </c>
      <c r="F1" s="117" t="s">
        <v>68</v>
      </c>
      <c r="G1" s="161" t="s">
        <v>69</v>
      </c>
      <c r="H1" s="161" t="s">
        <v>527</v>
      </c>
      <c r="J1" s="120"/>
      <c r="K1" s="119" t="s">
        <v>145</v>
      </c>
      <c r="L1" s="119" t="s">
        <v>532</v>
      </c>
      <c r="N1" s="119" t="s">
        <v>74</v>
      </c>
    </row>
    <row r="2" spans="1:14" ht="63.75">
      <c r="A2" s="23">
        <v>1</v>
      </c>
      <c r="B2" s="157" t="s">
        <v>740</v>
      </c>
      <c r="C2" s="157" t="s">
        <v>707</v>
      </c>
      <c r="D2" s="57" t="s">
        <v>708</v>
      </c>
      <c r="E2" s="21" t="s">
        <v>709</v>
      </c>
      <c r="F2" s="23">
        <v>1</v>
      </c>
      <c r="G2" s="154">
        <f>I2*88*1.3</f>
        <v>0</v>
      </c>
      <c r="H2" s="15">
        <f t="shared" ref="H2:H10" si="0">G2*F2</f>
        <v>0</v>
      </c>
      <c r="I2" s="124"/>
      <c r="J2" s="125"/>
    </row>
    <row r="3" spans="1:14" ht="63.75">
      <c r="A3" s="23">
        <v>2</v>
      </c>
      <c r="B3" s="157" t="s">
        <v>740</v>
      </c>
      <c r="C3" s="157" t="s">
        <v>710</v>
      </c>
      <c r="D3" s="57" t="s">
        <v>711</v>
      </c>
      <c r="E3" s="21" t="s">
        <v>709</v>
      </c>
      <c r="F3" s="23">
        <v>1</v>
      </c>
      <c r="G3" s="154">
        <f t="shared" ref="G3:G10" si="1">I3*88*1.3</f>
        <v>0</v>
      </c>
      <c r="H3" s="15">
        <f t="shared" si="0"/>
        <v>0</v>
      </c>
      <c r="I3" s="124"/>
      <c r="J3" s="125"/>
      <c r="K3" s="119">
        <v>295</v>
      </c>
    </row>
    <row r="4" spans="1:14" ht="114.75">
      <c r="A4" s="23">
        <v>3</v>
      </c>
      <c r="B4" s="157" t="s">
        <v>740</v>
      </c>
      <c r="C4" s="157" t="s">
        <v>712</v>
      </c>
      <c r="D4" s="57" t="s">
        <v>713</v>
      </c>
      <c r="E4" s="21" t="s">
        <v>714</v>
      </c>
      <c r="F4" s="23">
        <v>1</v>
      </c>
      <c r="G4" s="154">
        <f t="shared" si="1"/>
        <v>0</v>
      </c>
      <c r="H4" s="15">
        <f t="shared" si="0"/>
        <v>0</v>
      </c>
      <c r="I4" s="124"/>
      <c r="J4" s="125"/>
      <c r="K4" s="119">
        <v>7800</v>
      </c>
    </row>
    <row r="5" spans="1:14" ht="102">
      <c r="A5" s="23">
        <v>4</v>
      </c>
      <c r="B5" s="157" t="s">
        <v>740</v>
      </c>
      <c r="C5" s="157" t="s">
        <v>715</v>
      </c>
      <c r="D5" s="57" t="s">
        <v>716</v>
      </c>
      <c r="E5" s="21" t="s">
        <v>714</v>
      </c>
      <c r="F5" s="23">
        <v>2</v>
      </c>
      <c r="G5" s="154">
        <f t="shared" si="1"/>
        <v>0</v>
      </c>
      <c r="H5" s="15">
        <f t="shared" si="0"/>
        <v>0</v>
      </c>
      <c r="I5" s="124"/>
      <c r="J5" s="125"/>
      <c r="K5" s="119">
        <v>320</v>
      </c>
    </row>
    <row r="6" spans="1:14" ht="38.25">
      <c r="A6" s="23">
        <v>5</v>
      </c>
      <c r="B6" s="157" t="s">
        <v>740</v>
      </c>
      <c r="C6" s="157" t="s">
        <v>717</v>
      </c>
      <c r="D6" s="57" t="s">
        <v>718</v>
      </c>
      <c r="E6" s="21" t="s">
        <v>709</v>
      </c>
      <c r="F6" s="23">
        <v>1</v>
      </c>
      <c r="G6" s="154">
        <f t="shared" si="1"/>
        <v>0</v>
      </c>
      <c r="H6" s="15">
        <f t="shared" si="0"/>
        <v>0</v>
      </c>
      <c r="I6" s="124"/>
      <c r="J6" s="125"/>
    </row>
    <row r="7" spans="1:14" ht="140.25">
      <c r="A7" s="23">
        <v>6</v>
      </c>
      <c r="B7" s="157" t="s">
        <v>740</v>
      </c>
      <c r="C7" s="157" t="s">
        <v>719</v>
      </c>
      <c r="D7" s="57" t="s">
        <v>720</v>
      </c>
      <c r="E7" s="21" t="s">
        <v>709</v>
      </c>
      <c r="F7" s="23">
        <v>1</v>
      </c>
      <c r="G7" s="154">
        <f t="shared" si="1"/>
        <v>0</v>
      </c>
      <c r="H7" s="15">
        <f t="shared" si="0"/>
        <v>0</v>
      </c>
      <c r="I7" s="124"/>
      <c r="J7" s="125"/>
      <c r="K7" s="119">
        <v>90</v>
      </c>
    </row>
    <row r="8" spans="1:14" ht="140.25">
      <c r="A8" s="23">
        <v>7</v>
      </c>
      <c r="B8" s="157" t="s">
        <v>740</v>
      </c>
      <c r="C8" s="157" t="s">
        <v>721</v>
      </c>
      <c r="D8" s="57" t="s">
        <v>722</v>
      </c>
      <c r="E8" s="21" t="s">
        <v>709</v>
      </c>
      <c r="F8" s="23">
        <v>1</v>
      </c>
      <c r="G8" s="154">
        <f t="shared" si="1"/>
        <v>0</v>
      </c>
      <c r="H8" s="15">
        <f t="shared" si="0"/>
        <v>0</v>
      </c>
      <c r="I8" s="124"/>
      <c r="J8" s="125"/>
      <c r="K8" s="119">
        <v>90</v>
      </c>
    </row>
    <row r="9" spans="1:14" ht="140.25">
      <c r="A9" s="23">
        <v>8</v>
      </c>
      <c r="B9" s="157" t="s">
        <v>740</v>
      </c>
      <c r="C9" s="157" t="s">
        <v>723</v>
      </c>
      <c r="D9" s="57" t="s">
        <v>724</v>
      </c>
      <c r="E9" s="21" t="s">
        <v>709</v>
      </c>
      <c r="F9" s="23">
        <v>1</v>
      </c>
      <c r="G9" s="154">
        <f t="shared" si="1"/>
        <v>0</v>
      </c>
      <c r="H9" s="15">
        <f t="shared" si="0"/>
        <v>0</v>
      </c>
      <c r="I9" s="124"/>
      <c r="J9" s="125"/>
      <c r="K9" s="119">
        <v>440</v>
      </c>
    </row>
    <row r="10" spans="1:14" ht="63.75">
      <c r="A10" s="23">
        <v>9</v>
      </c>
      <c r="B10" s="157" t="s">
        <v>565</v>
      </c>
      <c r="C10" s="157" t="s">
        <v>725</v>
      </c>
      <c r="D10" s="57" t="s">
        <v>726</v>
      </c>
      <c r="E10" s="21" t="s">
        <v>714</v>
      </c>
      <c r="F10" s="23">
        <v>1</v>
      </c>
      <c r="G10" s="154">
        <f t="shared" si="1"/>
        <v>0</v>
      </c>
      <c r="H10" s="15">
        <f t="shared" si="0"/>
        <v>0</v>
      </c>
      <c r="I10" s="124"/>
      <c r="J10" s="125"/>
      <c r="K10" s="119">
        <v>90</v>
      </c>
    </row>
    <row r="11" spans="1:14">
      <c r="A11" s="23">
        <v>10</v>
      </c>
      <c r="B11" s="373" t="s">
        <v>76</v>
      </c>
      <c r="C11" s="407"/>
      <c r="D11" s="407"/>
      <c r="E11" s="407"/>
      <c r="F11" s="407"/>
      <c r="G11" s="374"/>
      <c r="H11" s="162">
        <f>SUM(H2:H10)</f>
        <v>0</v>
      </c>
    </row>
    <row r="12" spans="1:14">
      <c r="A12" s="23">
        <v>11</v>
      </c>
      <c r="B12" s="373" t="s">
        <v>650</v>
      </c>
      <c r="C12" s="407"/>
      <c r="D12" s="407"/>
      <c r="E12" s="407"/>
      <c r="F12" s="407"/>
      <c r="G12" s="374"/>
      <c r="H12" s="162">
        <f>H11*18%</f>
        <v>0</v>
      </c>
    </row>
    <row r="13" spans="1:14">
      <c r="A13" s="23">
        <v>12</v>
      </c>
      <c r="B13" s="373" t="s">
        <v>657</v>
      </c>
      <c r="C13" s="407"/>
      <c r="D13" s="407"/>
      <c r="E13" s="407"/>
      <c r="F13" s="407"/>
      <c r="G13" s="374"/>
      <c r="H13" s="162">
        <f>SUM(H11:H12)</f>
        <v>0</v>
      </c>
    </row>
    <row r="14" spans="1:14">
      <c r="A14" s="408"/>
      <c r="B14" s="409"/>
      <c r="C14" s="409"/>
      <c r="D14" s="409"/>
      <c r="E14" s="409"/>
      <c r="F14" s="409"/>
      <c r="G14" s="409"/>
      <c r="H14" s="410"/>
    </row>
    <row r="15" spans="1:14" ht="180.95" customHeight="1">
      <c r="A15" s="128" t="s">
        <v>80</v>
      </c>
      <c r="B15" s="360" t="s">
        <v>658</v>
      </c>
      <c r="C15" s="360"/>
      <c r="D15" s="360"/>
      <c r="E15" s="360"/>
      <c r="F15" s="360"/>
      <c r="G15" s="360"/>
      <c r="H15" s="361"/>
    </row>
  </sheetData>
  <autoFilter ref="A1:N13" xr:uid="{00000000-0009-0000-0000-00003A000000}"/>
  <mergeCells count="5">
    <mergeCell ref="B11:G11"/>
    <mergeCell ref="B12:G12"/>
    <mergeCell ref="B13:G13"/>
    <mergeCell ref="A14:H14"/>
    <mergeCell ref="B15:H15"/>
  </mergeCells>
  <pageMargins left="0.7" right="0.7" top="0.75" bottom="0.75" header="0.3" footer="0.3"/>
  <pageSetup orientation="portrait" horizontalDpi="4294967292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Sheet60"/>
  <dimension ref="A1:N12"/>
  <sheetViews>
    <sheetView topLeftCell="A4" workbookViewId="0">
      <selection activeCell="D7" sqref="D7"/>
    </sheetView>
  </sheetViews>
  <sheetFormatPr defaultColWidth="9.140625" defaultRowHeight="12.75"/>
  <cols>
    <col min="1" max="1" width="5.85546875" style="119" bestFit="1" customWidth="1"/>
    <col min="2" max="2" width="12.5703125" style="119" customWidth="1"/>
    <col min="3" max="3" width="17.42578125" style="119" bestFit="1" customWidth="1"/>
    <col min="4" max="4" width="46.28515625" style="119" customWidth="1"/>
    <col min="5" max="5" width="5" style="119" bestFit="1" customWidth="1"/>
    <col min="6" max="6" width="6.28515625" style="119" bestFit="1" customWidth="1"/>
    <col min="7" max="7" width="12.85546875" style="163" bestFit="1" customWidth="1"/>
    <col min="8" max="8" width="15.42578125" style="163" customWidth="1"/>
    <col min="9" max="9" width="10.5703125" style="119" bestFit="1" customWidth="1"/>
    <col min="10" max="10" width="11.42578125" style="127" bestFit="1" customWidth="1"/>
    <col min="11" max="11" width="9.42578125" style="119" bestFit="1" customWidth="1"/>
    <col min="12" max="16384" width="9.140625" style="119"/>
  </cols>
  <sheetData>
    <row r="1" spans="1:14" ht="25.5">
      <c r="A1" s="19" t="s">
        <v>0</v>
      </c>
      <c r="B1" s="19" t="s">
        <v>268</v>
      </c>
      <c r="C1" s="117" t="s">
        <v>82</v>
      </c>
      <c r="D1" s="117" t="s">
        <v>67</v>
      </c>
      <c r="E1" s="117" t="s">
        <v>3</v>
      </c>
      <c r="F1" s="117" t="s">
        <v>68</v>
      </c>
      <c r="G1" s="161" t="s">
        <v>69</v>
      </c>
      <c r="H1" s="161" t="s">
        <v>527</v>
      </c>
      <c r="J1" s="120"/>
      <c r="L1" s="119" t="s">
        <v>532</v>
      </c>
      <c r="N1" s="119" t="s">
        <v>74</v>
      </c>
    </row>
    <row r="2" spans="1:14" ht="51">
      <c r="A2" s="23">
        <v>1</v>
      </c>
      <c r="B2" s="157" t="s">
        <v>565</v>
      </c>
      <c r="C2" s="157" t="s">
        <v>728</v>
      </c>
      <c r="D2" s="57" t="s">
        <v>734</v>
      </c>
      <c r="E2" s="21" t="s">
        <v>727</v>
      </c>
      <c r="F2" s="23">
        <v>2</v>
      </c>
      <c r="G2" s="154">
        <f t="shared" ref="G2:G7" si="0">I2*88*1.3</f>
        <v>0</v>
      </c>
      <c r="H2" s="15">
        <f t="shared" ref="H2:H7" si="1">G2*F2</f>
        <v>0</v>
      </c>
      <c r="I2" s="124"/>
      <c r="J2" s="125"/>
    </row>
    <row r="3" spans="1:14" ht="63.75">
      <c r="A3" s="23">
        <v>2</v>
      </c>
      <c r="B3" s="157" t="s">
        <v>740</v>
      </c>
      <c r="C3" s="157" t="s">
        <v>729</v>
      </c>
      <c r="D3" s="57" t="s">
        <v>735</v>
      </c>
      <c r="E3" s="21" t="s">
        <v>727</v>
      </c>
      <c r="F3" s="23">
        <v>30</v>
      </c>
      <c r="G3" s="154">
        <f t="shared" si="0"/>
        <v>0</v>
      </c>
      <c r="H3" s="15">
        <f t="shared" si="1"/>
        <v>0</v>
      </c>
      <c r="I3" s="124"/>
      <c r="J3" s="125"/>
    </row>
    <row r="4" spans="1:14" ht="76.5">
      <c r="A4" s="23">
        <v>3</v>
      </c>
      <c r="B4" s="157" t="s">
        <v>565</v>
      </c>
      <c r="C4" s="157" t="s">
        <v>730</v>
      </c>
      <c r="D4" s="57" t="s">
        <v>736</v>
      </c>
      <c r="E4" s="21" t="s">
        <v>727</v>
      </c>
      <c r="F4" s="23">
        <v>3</v>
      </c>
      <c r="G4" s="154">
        <f t="shared" si="0"/>
        <v>0</v>
      </c>
      <c r="H4" s="15">
        <f t="shared" si="1"/>
        <v>0</v>
      </c>
      <c r="I4" s="124"/>
      <c r="J4" s="125"/>
    </row>
    <row r="5" spans="1:14" ht="38.25">
      <c r="A5" s="23">
        <v>4</v>
      </c>
      <c r="B5" s="157" t="s">
        <v>740</v>
      </c>
      <c r="C5" s="157" t="s">
        <v>731</v>
      </c>
      <c r="D5" s="57" t="s">
        <v>737</v>
      </c>
      <c r="E5" s="21" t="s">
        <v>727</v>
      </c>
      <c r="F5" s="23">
        <v>4</v>
      </c>
      <c r="G5" s="154">
        <f t="shared" si="0"/>
        <v>0</v>
      </c>
      <c r="H5" s="15">
        <f t="shared" si="1"/>
        <v>0</v>
      </c>
      <c r="I5" s="124"/>
      <c r="J5" s="125"/>
    </row>
    <row r="6" spans="1:14" ht="38.25">
      <c r="A6" s="23">
        <v>5</v>
      </c>
      <c r="B6" s="157" t="s">
        <v>740</v>
      </c>
      <c r="C6" s="157" t="s">
        <v>732</v>
      </c>
      <c r="D6" s="57" t="s">
        <v>738</v>
      </c>
      <c r="E6" s="21" t="s">
        <v>727</v>
      </c>
      <c r="F6" s="23">
        <v>8</v>
      </c>
      <c r="G6" s="154">
        <f t="shared" si="0"/>
        <v>0</v>
      </c>
      <c r="H6" s="15">
        <f t="shared" si="1"/>
        <v>0</v>
      </c>
      <c r="I6" s="124"/>
      <c r="J6" s="125"/>
    </row>
    <row r="7" spans="1:14" ht="38.25">
      <c r="A7" s="23">
        <v>6</v>
      </c>
      <c r="B7" s="157" t="s">
        <v>740</v>
      </c>
      <c r="C7" s="157" t="s">
        <v>733</v>
      </c>
      <c r="D7" s="57" t="s">
        <v>739</v>
      </c>
      <c r="E7" s="21" t="s">
        <v>727</v>
      </c>
      <c r="F7" s="23">
        <v>10</v>
      </c>
      <c r="G7" s="154">
        <f t="shared" si="0"/>
        <v>0</v>
      </c>
      <c r="H7" s="15">
        <f t="shared" si="1"/>
        <v>0</v>
      </c>
      <c r="I7" s="124"/>
      <c r="J7" s="125"/>
    </row>
    <row r="8" spans="1:14">
      <c r="A8" s="23">
        <v>10</v>
      </c>
      <c r="B8" s="373" t="s">
        <v>76</v>
      </c>
      <c r="C8" s="407"/>
      <c r="D8" s="407"/>
      <c r="E8" s="407"/>
      <c r="F8" s="407"/>
      <c r="G8" s="374"/>
      <c r="H8" s="162">
        <f>SUM(H2:H7)</f>
        <v>0</v>
      </c>
    </row>
    <row r="9" spans="1:14">
      <c r="A9" s="23">
        <v>11</v>
      </c>
      <c r="B9" s="373" t="s">
        <v>650</v>
      </c>
      <c r="C9" s="407"/>
      <c r="D9" s="407"/>
      <c r="E9" s="407"/>
      <c r="F9" s="407"/>
      <c r="G9" s="374"/>
      <c r="H9" s="162">
        <f>H8*18%</f>
        <v>0</v>
      </c>
    </row>
    <row r="10" spans="1:14">
      <c r="A10" s="23">
        <v>12</v>
      </c>
      <c r="B10" s="373" t="s">
        <v>657</v>
      </c>
      <c r="C10" s="407"/>
      <c r="D10" s="407"/>
      <c r="E10" s="407"/>
      <c r="F10" s="407"/>
      <c r="G10" s="374"/>
      <c r="H10" s="162">
        <f>SUM(H8:H9)</f>
        <v>0</v>
      </c>
    </row>
    <row r="11" spans="1:14">
      <c r="A11" s="408"/>
      <c r="B11" s="409"/>
      <c r="C11" s="409"/>
      <c r="D11" s="409"/>
      <c r="E11" s="409"/>
      <c r="F11" s="409"/>
      <c r="G11" s="409"/>
      <c r="H11" s="410"/>
    </row>
    <row r="12" spans="1:14" ht="180.95" customHeight="1">
      <c r="A12" s="128" t="s">
        <v>80</v>
      </c>
      <c r="B12" s="360" t="s">
        <v>658</v>
      </c>
      <c r="C12" s="360"/>
      <c r="D12" s="360"/>
      <c r="E12" s="360"/>
      <c r="F12" s="360"/>
      <c r="G12" s="360"/>
      <c r="H12" s="361"/>
    </row>
  </sheetData>
  <autoFilter ref="A1:N10" xr:uid="{00000000-0009-0000-0000-00003B000000}"/>
  <mergeCells count="5">
    <mergeCell ref="B8:G8"/>
    <mergeCell ref="B9:G9"/>
    <mergeCell ref="B10:G10"/>
    <mergeCell ref="A11:H11"/>
    <mergeCell ref="B12:H12"/>
  </mergeCells>
  <pageMargins left="0.7" right="0.7" top="0.75" bottom="0.75" header="0.3" footer="0.3"/>
  <pageSetup orientation="portrait" horizontalDpi="4294967292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Sheet61"/>
  <dimension ref="A1:N7"/>
  <sheetViews>
    <sheetView workbookViewId="0">
      <selection sqref="A1:H7"/>
    </sheetView>
  </sheetViews>
  <sheetFormatPr defaultColWidth="9.140625" defaultRowHeight="12.75"/>
  <cols>
    <col min="1" max="1" width="5.85546875" style="119" bestFit="1" customWidth="1"/>
    <col min="2" max="2" width="12.5703125" style="119" customWidth="1"/>
    <col min="3" max="3" width="17.42578125" style="119" bestFit="1" customWidth="1"/>
    <col min="4" max="4" width="46.28515625" style="119" customWidth="1"/>
    <col min="5" max="5" width="5" style="119" bestFit="1" customWidth="1"/>
    <col min="6" max="6" width="6.28515625" style="119" bestFit="1" customWidth="1"/>
    <col min="7" max="7" width="12.85546875" style="119" bestFit="1" customWidth="1"/>
    <col min="8" max="8" width="15.42578125" style="119" customWidth="1"/>
    <col min="9" max="9" width="10.5703125" style="119" bestFit="1" customWidth="1"/>
    <col min="10" max="10" width="11.42578125" style="127" bestFit="1" customWidth="1"/>
    <col min="11" max="11" width="9.42578125" style="119" bestFit="1" customWidth="1"/>
    <col min="12" max="16384" width="9.140625" style="119"/>
  </cols>
  <sheetData>
    <row r="1" spans="1:14" ht="25.5">
      <c r="A1" s="19" t="s">
        <v>0</v>
      </c>
      <c r="B1" s="19" t="s">
        <v>268</v>
      </c>
      <c r="C1" s="117" t="s">
        <v>82</v>
      </c>
      <c r="D1" s="117" t="s">
        <v>67</v>
      </c>
      <c r="E1" s="117" t="s">
        <v>3</v>
      </c>
      <c r="F1" s="117" t="s">
        <v>68</v>
      </c>
      <c r="G1" s="152" t="s">
        <v>69</v>
      </c>
      <c r="H1" s="152" t="s">
        <v>527</v>
      </c>
      <c r="I1" s="119" t="s">
        <v>394</v>
      </c>
      <c r="J1" s="120" t="s">
        <v>145</v>
      </c>
      <c r="K1" s="119" t="s">
        <v>529</v>
      </c>
      <c r="L1" s="119" t="s">
        <v>532</v>
      </c>
      <c r="N1" s="119" t="s">
        <v>74</v>
      </c>
    </row>
    <row r="2" spans="1:14" ht="38.25">
      <c r="A2" s="23">
        <v>1</v>
      </c>
      <c r="B2" s="157" t="s">
        <v>565</v>
      </c>
      <c r="C2" s="157" t="s">
        <v>565</v>
      </c>
      <c r="D2" s="57" t="s">
        <v>741</v>
      </c>
      <c r="E2" s="21" t="s">
        <v>75</v>
      </c>
      <c r="F2" s="23">
        <v>1</v>
      </c>
      <c r="G2" s="154">
        <f>I2*1.35*88</f>
        <v>112860</v>
      </c>
      <c r="H2" s="15">
        <f>G2*F2</f>
        <v>112860</v>
      </c>
      <c r="I2" s="124">
        <v>950</v>
      </c>
      <c r="J2" s="125">
        <v>820</v>
      </c>
    </row>
    <row r="3" spans="1:14">
      <c r="A3" s="23">
        <v>2</v>
      </c>
      <c r="B3" s="397" t="s">
        <v>76</v>
      </c>
      <c r="C3" s="397"/>
      <c r="D3" s="397"/>
      <c r="E3" s="397"/>
      <c r="F3" s="397"/>
      <c r="G3" s="397"/>
      <c r="H3" s="162">
        <f>SUM(H2:H2)</f>
        <v>112860</v>
      </c>
    </row>
    <row r="4" spans="1:14">
      <c r="A4" s="23">
        <v>3</v>
      </c>
      <c r="B4" s="397" t="s">
        <v>650</v>
      </c>
      <c r="C4" s="397"/>
      <c r="D4" s="397"/>
      <c r="E4" s="397"/>
      <c r="F4" s="397"/>
      <c r="G4" s="397"/>
      <c r="H4" s="162">
        <f>1500*1.18</f>
        <v>1770</v>
      </c>
    </row>
    <row r="5" spans="1:14">
      <c r="A5" s="23">
        <v>4</v>
      </c>
      <c r="B5" s="397" t="s">
        <v>742</v>
      </c>
      <c r="C5" s="397"/>
      <c r="D5" s="397"/>
      <c r="E5" s="397"/>
      <c r="F5" s="397"/>
      <c r="G5" s="397"/>
      <c r="H5" s="162">
        <f>SUM(H3:H4)</f>
        <v>114630</v>
      </c>
    </row>
    <row r="6" spans="1:14">
      <c r="A6" s="398"/>
      <c r="B6" s="399"/>
      <c r="C6" s="399"/>
      <c r="D6" s="399"/>
      <c r="E6" s="399"/>
      <c r="F6" s="399"/>
      <c r="G6" s="399"/>
      <c r="H6" s="400"/>
    </row>
    <row r="7" spans="1:14" ht="180.95" customHeight="1">
      <c r="A7" s="128" t="s">
        <v>80</v>
      </c>
      <c r="B7" s="360" t="s">
        <v>743</v>
      </c>
      <c r="C7" s="360"/>
      <c r="D7" s="360"/>
      <c r="E7" s="360"/>
      <c r="F7" s="360"/>
      <c r="G7" s="360"/>
      <c r="H7" s="361"/>
    </row>
  </sheetData>
  <mergeCells count="5">
    <mergeCell ref="B3:G3"/>
    <mergeCell ref="B4:G4"/>
    <mergeCell ref="B5:G5"/>
    <mergeCell ref="A6:H6"/>
    <mergeCell ref="B7:H7"/>
  </mergeCells>
  <pageMargins left="0.7" right="0.7" top="0.75" bottom="0.75" header="0.3" footer="0.3"/>
  <pageSetup orientation="portrait" horizontalDpi="4294967292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Sheet62"/>
  <dimension ref="A1:N13"/>
  <sheetViews>
    <sheetView workbookViewId="0">
      <selection activeCell="I2" sqref="I2:I5"/>
    </sheetView>
  </sheetViews>
  <sheetFormatPr defaultColWidth="9.140625" defaultRowHeight="12.75"/>
  <cols>
    <col min="1" max="1" width="5.85546875" style="119" bestFit="1" customWidth="1"/>
    <col min="2" max="2" width="12.5703125" style="119" customWidth="1"/>
    <col min="3" max="3" width="19.5703125" style="119" bestFit="1" customWidth="1"/>
    <col min="4" max="4" width="46.28515625" style="119" customWidth="1"/>
    <col min="5" max="5" width="5" style="119" bestFit="1" customWidth="1"/>
    <col min="6" max="6" width="6.28515625" style="119" bestFit="1" customWidth="1"/>
    <col min="7" max="7" width="15.140625" style="119" bestFit="1" customWidth="1"/>
    <col min="8" max="8" width="15.42578125" style="119" customWidth="1"/>
    <col min="9" max="9" width="10.5703125" style="119" bestFit="1" customWidth="1"/>
    <col min="10" max="10" width="11.42578125" style="127" bestFit="1" customWidth="1"/>
    <col min="11" max="11" width="9.42578125" style="119" bestFit="1" customWidth="1"/>
    <col min="12" max="16384" width="9.140625" style="119"/>
  </cols>
  <sheetData>
    <row r="1" spans="1:14" ht="25.5">
      <c r="A1" s="19" t="s">
        <v>0</v>
      </c>
      <c r="B1" s="19" t="s">
        <v>268</v>
      </c>
      <c r="C1" s="117" t="s">
        <v>745</v>
      </c>
      <c r="D1" s="117" t="s">
        <v>67</v>
      </c>
      <c r="E1" s="117" t="s">
        <v>3</v>
      </c>
      <c r="F1" s="117" t="s">
        <v>68</v>
      </c>
      <c r="G1" s="152" t="s">
        <v>69</v>
      </c>
      <c r="H1" s="152" t="s">
        <v>527</v>
      </c>
      <c r="I1" s="119" t="s">
        <v>394</v>
      </c>
      <c r="J1" s="120" t="s">
        <v>119</v>
      </c>
      <c r="K1" s="119" t="s">
        <v>529</v>
      </c>
      <c r="L1" s="119" t="s">
        <v>532</v>
      </c>
      <c r="N1" s="119" t="s">
        <v>74</v>
      </c>
    </row>
    <row r="2" spans="1:14">
      <c r="A2" s="23">
        <v>1</v>
      </c>
      <c r="B2" s="157" t="s">
        <v>565</v>
      </c>
      <c r="C2" s="157" t="s">
        <v>744</v>
      </c>
      <c r="D2" s="57" t="s">
        <v>746</v>
      </c>
      <c r="E2" s="21" t="s">
        <v>75</v>
      </c>
      <c r="F2" s="23">
        <v>9</v>
      </c>
      <c r="G2" s="154">
        <f>I2*1.35*88</f>
        <v>3564</v>
      </c>
      <c r="H2" s="15">
        <f>G2*F2</f>
        <v>32076</v>
      </c>
      <c r="I2" s="124">
        <v>30</v>
      </c>
      <c r="J2" s="125">
        <v>27</v>
      </c>
    </row>
    <row r="3" spans="1:14">
      <c r="A3" s="23">
        <v>2</v>
      </c>
      <c r="B3" s="157" t="s">
        <v>565</v>
      </c>
      <c r="C3" s="157" t="s">
        <v>747</v>
      </c>
      <c r="D3" s="57" t="s">
        <v>750</v>
      </c>
      <c r="E3" s="21" t="s">
        <v>75</v>
      </c>
      <c r="F3" s="23">
        <v>45</v>
      </c>
      <c r="G3" s="154">
        <f>I3*1.35*88</f>
        <v>3564</v>
      </c>
      <c r="H3" s="15">
        <f>G3*F3</f>
        <v>160380</v>
      </c>
      <c r="I3" s="124">
        <v>30</v>
      </c>
      <c r="J3" s="125">
        <v>23</v>
      </c>
    </row>
    <row r="4" spans="1:14">
      <c r="A4" s="23">
        <v>3</v>
      </c>
      <c r="B4" s="157" t="s">
        <v>565</v>
      </c>
      <c r="C4" s="157" t="s">
        <v>748</v>
      </c>
      <c r="D4" s="57" t="s">
        <v>751</v>
      </c>
      <c r="E4" s="21" t="s">
        <v>75</v>
      </c>
      <c r="F4" s="23">
        <v>18</v>
      </c>
      <c r="G4" s="154">
        <f>I4*1.35*88</f>
        <v>3564</v>
      </c>
      <c r="H4" s="15">
        <f>G4*F4</f>
        <v>64152</v>
      </c>
      <c r="I4" s="124">
        <v>30</v>
      </c>
      <c r="J4" s="125">
        <v>5.5</v>
      </c>
    </row>
    <row r="5" spans="1:14">
      <c r="A5" s="23">
        <v>4</v>
      </c>
      <c r="B5" s="157" t="s">
        <v>565</v>
      </c>
      <c r="C5" s="157" t="s">
        <v>749</v>
      </c>
      <c r="D5" s="57" t="s">
        <v>752</v>
      </c>
      <c r="E5" s="21" t="s">
        <v>75</v>
      </c>
      <c r="F5" s="23">
        <v>18</v>
      </c>
      <c r="G5" s="154">
        <f>I5*1.35*88</f>
        <v>7722</v>
      </c>
      <c r="H5" s="15">
        <f>G5*F5</f>
        <v>138996</v>
      </c>
      <c r="I5" s="124">
        <v>65</v>
      </c>
      <c r="J5" s="125">
        <v>55</v>
      </c>
    </row>
    <row r="6" spans="1:14">
      <c r="A6" s="23">
        <v>5</v>
      </c>
      <c r="B6" s="157" t="s">
        <v>565</v>
      </c>
      <c r="C6" s="157" t="s">
        <v>755</v>
      </c>
      <c r="D6" s="57" t="s">
        <v>753</v>
      </c>
      <c r="E6" s="21" t="s">
        <v>75</v>
      </c>
      <c r="F6" s="23">
        <v>45</v>
      </c>
      <c r="G6" s="154">
        <f>I6*1.35*88</f>
        <v>2613.6000000000004</v>
      </c>
      <c r="H6" s="15">
        <f>G6*F6</f>
        <v>117612.00000000001</v>
      </c>
      <c r="I6" s="124">
        <v>22</v>
      </c>
      <c r="J6" s="125"/>
    </row>
    <row r="7" spans="1:14">
      <c r="A7" s="23">
        <v>6</v>
      </c>
      <c r="B7" s="157" t="s">
        <v>565</v>
      </c>
      <c r="C7" s="157" t="s">
        <v>756</v>
      </c>
      <c r="D7" s="57" t="s">
        <v>754</v>
      </c>
      <c r="E7" s="21" t="s">
        <v>75</v>
      </c>
      <c r="F7" s="23">
        <v>2</v>
      </c>
      <c r="G7" s="154" t="s">
        <v>757</v>
      </c>
      <c r="H7" s="15">
        <v>0</v>
      </c>
      <c r="I7" s="124"/>
      <c r="J7" s="125"/>
    </row>
    <row r="8" spans="1:14">
      <c r="A8" s="23">
        <v>7</v>
      </c>
      <c r="B8" s="397" t="s">
        <v>76</v>
      </c>
      <c r="C8" s="397"/>
      <c r="D8" s="397"/>
      <c r="E8" s="397"/>
      <c r="F8" s="397"/>
      <c r="G8" s="397"/>
      <c r="H8" s="162">
        <f>SUM(H2:H7)</f>
        <v>513216</v>
      </c>
    </row>
    <row r="9" spans="1:14">
      <c r="A9" s="23">
        <v>8</v>
      </c>
      <c r="B9" s="397" t="s">
        <v>650</v>
      </c>
      <c r="C9" s="397"/>
      <c r="D9" s="397"/>
      <c r="E9" s="397"/>
      <c r="F9" s="397"/>
      <c r="G9" s="397"/>
      <c r="H9" s="162">
        <f>H8*2%</f>
        <v>10264.32</v>
      </c>
    </row>
    <row r="10" spans="1:14">
      <c r="A10" s="23">
        <v>9</v>
      </c>
      <c r="B10" s="397" t="s">
        <v>650</v>
      </c>
      <c r="C10" s="397"/>
      <c r="D10" s="397"/>
      <c r="E10" s="397"/>
      <c r="F10" s="397"/>
      <c r="G10" s="397"/>
      <c r="H10" s="162">
        <f>(H8+H9)*18%</f>
        <v>94226.457599999994</v>
      </c>
    </row>
    <row r="11" spans="1:14">
      <c r="A11" s="23">
        <v>10</v>
      </c>
      <c r="B11" s="397" t="s">
        <v>742</v>
      </c>
      <c r="C11" s="397"/>
      <c r="D11" s="397"/>
      <c r="E11" s="397"/>
      <c r="F11" s="397"/>
      <c r="G11" s="397"/>
      <c r="H11" s="162">
        <f>SUM(H8:H10)</f>
        <v>617706.77760000003</v>
      </c>
    </row>
    <row r="12" spans="1:14">
      <c r="A12" s="398"/>
      <c r="B12" s="399"/>
      <c r="C12" s="399"/>
      <c r="D12" s="399"/>
      <c r="E12" s="399"/>
      <c r="F12" s="399"/>
      <c r="G12" s="399"/>
      <c r="H12" s="400"/>
    </row>
    <row r="13" spans="1:14" ht="180.95" customHeight="1">
      <c r="A13" s="128" t="s">
        <v>80</v>
      </c>
      <c r="B13" s="360" t="s">
        <v>743</v>
      </c>
      <c r="C13" s="360"/>
      <c r="D13" s="360"/>
      <c r="E13" s="360"/>
      <c r="F13" s="360"/>
      <c r="G13" s="360"/>
      <c r="H13" s="361"/>
    </row>
  </sheetData>
  <mergeCells count="6">
    <mergeCell ref="B8:G8"/>
    <mergeCell ref="B10:G10"/>
    <mergeCell ref="B11:G11"/>
    <mergeCell ref="A12:H12"/>
    <mergeCell ref="B13:H13"/>
    <mergeCell ref="B9:G9"/>
  </mergeCells>
  <pageMargins left="0.7" right="0.7" top="0.75" bottom="0.75" header="0.3" footer="0.3"/>
  <pageSetup orientation="portrait" horizontalDpi="4294967292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Sheet63"/>
  <dimension ref="A1:N17"/>
  <sheetViews>
    <sheetView topLeftCell="A10" zoomScaleNormal="100" workbookViewId="0">
      <selection activeCell="H15" sqref="H15"/>
    </sheetView>
  </sheetViews>
  <sheetFormatPr defaultColWidth="9.140625" defaultRowHeight="12.75"/>
  <cols>
    <col min="1" max="1" width="5.85546875" style="119" bestFit="1" customWidth="1"/>
    <col min="2" max="2" width="12.5703125" style="119" customWidth="1"/>
    <col min="3" max="3" width="19.5703125" style="119" bestFit="1" customWidth="1"/>
    <col min="4" max="4" width="46.28515625" style="119" customWidth="1"/>
    <col min="5" max="5" width="5" style="119" bestFit="1" customWidth="1"/>
    <col min="6" max="6" width="6.28515625" style="119" bestFit="1" customWidth="1"/>
    <col min="7" max="7" width="15.140625" style="119" bestFit="1" customWidth="1"/>
    <col min="8" max="8" width="15.42578125" style="119" customWidth="1"/>
    <col min="9" max="9" width="10.5703125" style="119" bestFit="1" customWidth="1"/>
    <col min="10" max="10" width="11.42578125" style="127" bestFit="1" customWidth="1"/>
    <col min="11" max="11" width="9.42578125" style="119" bestFit="1" customWidth="1"/>
    <col min="12" max="16384" width="9.140625" style="119"/>
  </cols>
  <sheetData>
    <row r="1" spans="1:14" ht="25.5">
      <c r="A1" s="152" t="s">
        <v>0</v>
      </c>
      <c r="B1" s="152" t="s">
        <v>1</v>
      </c>
      <c r="C1" s="117" t="s">
        <v>778</v>
      </c>
      <c r="D1" s="117" t="s">
        <v>67</v>
      </c>
      <c r="E1" s="117" t="s">
        <v>3</v>
      </c>
      <c r="F1" s="117" t="s">
        <v>68</v>
      </c>
      <c r="G1" s="152" t="s">
        <v>69</v>
      </c>
      <c r="H1" s="152" t="s">
        <v>527</v>
      </c>
      <c r="I1" s="119" t="s">
        <v>394</v>
      </c>
      <c r="J1" s="120" t="s">
        <v>758</v>
      </c>
      <c r="K1" s="119" t="s">
        <v>529</v>
      </c>
      <c r="L1" s="119" t="s">
        <v>532</v>
      </c>
      <c r="N1" s="119" t="s">
        <v>74</v>
      </c>
    </row>
    <row r="2" spans="1:14" ht="51">
      <c r="A2" s="21">
        <v>1</v>
      </c>
      <c r="B2" s="164" t="s">
        <v>759</v>
      </c>
      <c r="C2" s="164" t="s">
        <v>779</v>
      </c>
      <c r="D2" s="57" t="s">
        <v>768</v>
      </c>
      <c r="E2" s="21" t="s">
        <v>75</v>
      </c>
      <c r="F2" s="23">
        <v>4</v>
      </c>
      <c r="G2" s="154">
        <f>I2*1.35*88</f>
        <v>107514</v>
      </c>
      <c r="H2" s="15">
        <f>G2*F2</f>
        <v>430056</v>
      </c>
      <c r="I2" s="124">
        <f>J2</f>
        <v>905</v>
      </c>
      <c r="J2" s="125">
        <v>905</v>
      </c>
    </row>
    <row r="3" spans="1:14" ht="76.5">
      <c r="A3" s="21">
        <v>2</v>
      </c>
      <c r="B3" s="164" t="s">
        <v>760</v>
      </c>
      <c r="C3" s="164" t="s">
        <v>780</v>
      </c>
      <c r="D3" s="57" t="s">
        <v>769</v>
      </c>
      <c r="E3" s="21" t="s">
        <v>75</v>
      </c>
      <c r="F3" s="23">
        <v>8</v>
      </c>
      <c r="G3" s="154">
        <f>I3*1.35*88</f>
        <v>216216</v>
      </c>
      <c r="H3" s="15">
        <f>G3*F3</f>
        <v>1729728</v>
      </c>
      <c r="I3" s="124">
        <f t="shared" ref="I3:I11" si="0">J3</f>
        <v>1820</v>
      </c>
      <c r="J3" s="125">
        <v>1820</v>
      </c>
    </row>
    <row r="4" spans="1:14" ht="76.5">
      <c r="A4" s="21">
        <v>3</v>
      </c>
      <c r="B4" s="164" t="s">
        <v>761</v>
      </c>
      <c r="C4" s="164" t="s">
        <v>781</v>
      </c>
      <c r="D4" s="57" t="s">
        <v>770</v>
      </c>
      <c r="E4" s="21" t="s">
        <v>75</v>
      </c>
      <c r="F4" s="23">
        <v>4</v>
      </c>
      <c r="G4" s="154">
        <f>I4*1.35*88</f>
        <v>687852.00000000012</v>
      </c>
      <c r="H4" s="15">
        <f>G4*F4</f>
        <v>2751408.0000000005</v>
      </c>
      <c r="I4" s="124">
        <f t="shared" si="0"/>
        <v>5790</v>
      </c>
      <c r="J4" s="125">
        <v>5790</v>
      </c>
    </row>
    <row r="5" spans="1:14" ht="63.75">
      <c r="A5" s="21">
        <v>4</v>
      </c>
      <c r="B5" s="164" t="s">
        <v>762</v>
      </c>
      <c r="C5" s="164" t="s">
        <v>782</v>
      </c>
      <c r="D5" s="57" t="s">
        <v>771</v>
      </c>
      <c r="E5" s="21" t="s">
        <v>75</v>
      </c>
      <c r="F5" s="23">
        <v>8</v>
      </c>
      <c r="G5" s="154">
        <f>I5*1.35*88</f>
        <v>17226</v>
      </c>
      <c r="H5" s="15">
        <f>G5*F5</f>
        <v>137808</v>
      </c>
      <c r="I5" s="124">
        <f t="shared" si="0"/>
        <v>145</v>
      </c>
      <c r="J5" s="125">
        <v>145</v>
      </c>
    </row>
    <row r="6" spans="1:14" ht="63.75">
      <c r="A6" s="21">
        <v>5</v>
      </c>
      <c r="B6" s="164" t="s">
        <v>763</v>
      </c>
      <c r="C6" s="164" t="s">
        <v>783</v>
      </c>
      <c r="D6" s="57" t="s">
        <v>772</v>
      </c>
      <c r="E6" s="21" t="s">
        <v>75</v>
      </c>
      <c r="F6" s="23">
        <v>8</v>
      </c>
      <c r="G6" s="154">
        <f t="shared" ref="G6:G11" si="1">I6*1.35*88</f>
        <v>14850</v>
      </c>
      <c r="H6" s="15">
        <f t="shared" ref="H6:H11" si="2">G6*F6</f>
        <v>118800</v>
      </c>
      <c r="I6" s="124">
        <f t="shared" si="0"/>
        <v>125</v>
      </c>
      <c r="J6" s="125">
        <v>125</v>
      </c>
    </row>
    <row r="7" spans="1:14" ht="51">
      <c r="A7" s="21">
        <v>6</v>
      </c>
      <c r="B7" s="164" t="s">
        <v>764</v>
      </c>
      <c r="C7" s="164" t="s">
        <v>784</v>
      </c>
      <c r="D7" s="57" t="s">
        <v>773</v>
      </c>
      <c r="E7" s="21" t="s">
        <v>75</v>
      </c>
      <c r="F7" s="23">
        <v>8</v>
      </c>
      <c r="G7" s="154">
        <f t="shared" si="1"/>
        <v>6534</v>
      </c>
      <c r="H7" s="15">
        <f t="shared" si="2"/>
        <v>52272</v>
      </c>
      <c r="I7" s="124">
        <f t="shared" si="0"/>
        <v>55</v>
      </c>
      <c r="J7" s="125">
        <v>55</v>
      </c>
    </row>
    <row r="8" spans="1:14" ht="63.75">
      <c r="A8" s="21">
        <v>7</v>
      </c>
      <c r="B8" s="164" t="s">
        <v>765</v>
      </c>
      <c r="C8" s="164" t="s">
        <v>785</v>
      </c>
      <c r="D8" s="57" t="s">
        <v>774</v>
      </c>
      <c r="E8" s="21" t="s">
        <v>75</v>
      </c>
      <c r="F8" s="23">
        <v>8</v>
      </c>
      <c r="G8" s="154">
        <f t="shared" si="1"/>
        <v>54648</v>
      </c>
      <c r="H8" s="15">
        <f t="shared" si="2"/>
        <v>437184</v>
      </c>
      <c r="I8" s="124">
        <f t="shared" si="0"/>
        <v>460</v>
      </c>
      <c r="J8" s="125">
        <v>460</v>
      </c>
    </row>
    <row r="9" spans="1:14" ht="51">
      <c r="A9" s="21">
        <v>8</v>
      </c>
      <c r="B9" s="164" t="s">
        <v>766</v>
      </c>
      <c r="C9" s="164" t="s">
        <v>786</v>
      </c>
      <c r="D9" s="57" t="s">
        <v>775</v>
      </c>
      <c r="E9" s="21" t="s">
        <v>75</v>
      </c>
      <c r="F9" s="23">
        <v>8</v>
      </c>
      <c r="G9" s="154">
        <f t="shared" si="1"/>
        <v>19008</v>
      </c>
      <c r="H9" s="15">
        <f t="shared" si="2"/>
        <v>152064</v>
      </c>
      <c r="I9" s="124">
        <f t="shared" si="0"/>
        <v>160</v>
      </c>
      <c r="J9" s="125">
        <v>160</v>
      </c>
    </row>
    <row r="10" spans="1:14" ht="63.75">
      <c r="A10" s="21">
        <v>9</v>
      </c>
      <c r="B10" s="164" t="s">
        <v>761</v>
      </c>
      <c r="C10" s="164" t="s">
        <v>781</v>
      </c>
      <c r="D10" s="57" t="s">
        <v>776</v>
      </c>
      <c r="E10" s="21" t="s">
        <v>75</v>
      </c>
      <c r="F10" s="23">
        <v>4</v>
      </c>
      <c r="G10" s="154">
        <f t="shared" si="1"/>
        <v>687852.00000000012</v>
      </c>
      <c r="H10" s="15">
        <f t="shared" si="2"/>
        <v>2751408.0000000005</v>
      </c>
      <c r="I10" s="124">
        <f t="shared" si="0"/>
        <v>5790</v>
      </c>
      <c r="J10" s="125">
        <v>5790</v>
      </c>
    </row>
    <row r="11" spans="1:14" ht="63.75">
      <c r="A11" s="21">
        <v>10</v>
      </c>
      <c r="B11" s="164" t="s">
        <v>767</v>
      </c>
      <c r="C11" s="164" t="s">
        <v>787</v>
      </c>
      <c r="D11" s="57" t="s">
        <v>777</v>
      </c>
      <c r="E11" s="21" t="s">
        <v>75</v>
      </c>
      <c r="F11" s="23">
        <v>4</v>
      </c>
      <c r="G11" s="154">
        <f t="shared" si="1"/>
        <v>107514</v>
      </c>
      <c r="H11" s="15">
        <f t="shared" si="2"/>
        <v>430056</v>
      </c>
      <c r="I11" s="124">
        <f t="shared" si="0"/>
        <v>905</v>
      </c>
      <c r="J11" s="125">
        <v>905</v>
      </c>
    </row>
    <row r="12" spans="1:14">
      <c r="A12" s="23">
        <v>11</v>
      </c>
      <c r="B12" s="397" t="s">
        <v>76</v>
      </c>
      <c r="C12" s="397"/>
      <c r="D12" s="397"/>
      <c r="E12" s="397"/>
      <c r="F12" s="397"/>
      <c r="G12" s="397"/>
      <c r="H12" s="162">
        <f>SUM(H2:H11)</f>
        <v>8990784</v>
      </c>
    </row>
    <row r="13" spans="1:14">
      <c r="A13" s="23">
        <v>12</v>
      </c>
      <c r="B13" s="397" t="s">
        <v>650</v>
      </c>
      <c r="C13" s="397"/>
      <c r="D13" s="397"/>
      <c r="E13" s="397"/>
      <c r="F13" s="397"/>
      <c r="G13" s="397"/>
      <c r="H13" s="162">
        <f>H12*2%</f>
        <v>179815.67999999999</v>
      </c>
    </row>
    <row r="14" spans="1:14">
      <c r="A14" s="23">
        <v>13</v>
      </c>
      <c r="B14" s="397" t="s">
        <v>789</v>
      </c>
      <c r="C14" s="397"/>
      <c r="D14" s="397"/>
      <c r="E14" s="397"/>
      <c r="F14" s="397"/>
      <c r="G14" s="397"/>
      <c r="H14" s="162">
        <f>(H12+H13)*18%</f>
        <v>1650707.9423999998</v>
      </c>
    </row>
    <row r="15" spans="1:14">
      <c r="A15" s="23">
        <v>14</v>
      </c>
      <c r="B15" s="397" t="s">
        <v>742</v>
      </c>
      <c r="C15" s="397"/>
      <c r="D15" s="397"/>
      <c r="E15" s="397"/>
      <c r="F15" s="397"/>
      <c r="G15" s="397"/>
      <c r="H15" s="162">
        <f>SUM(H12:H14)</f>
        <v>10821307.622399999</v>
      </c>
    </row>
    <row r="16" spans="1:14">
      <c r="A16" s="398"/>
      <c r="B16" s="399"/>
      <c r="C16" s="399"/>
      <c r="D16" s="399"/>
      <c r="E16" s="399"/>
      <c r="F16" s="399"/>
      <c r="G16" s="399"/>
      <c r="H16" s="400"/>
    </row>
    <row r="17" spans="1:8" ht="180.95" customHeight="1">
      <c r="A17" s="128" t="s">
        <v>80</v>
      </c>
      <c r="B17" s="360" t="s">
        <v>788</v>
      </c>
      <c r="C17" s="360"/>
      <c r="D17" s="360"/>
      <c r="E17" s="360"/>
      <c r="F17" s="360"/>
      <c r="G17" s="360"/>
      <c r="H17" s="361"/>
    </row>
  </sheetData>
  <mergeCells count="6">
    <mergeCell ref="B17:H17"/>
    <mergeCell ref="B12:G12"/>
    <mergeCell ref="B13:G13"/>
    <mergeCell ref="B14:G14"/>
    <mergeCell ref="B15:G15"/>
    <mergeCell ref="A16:H16"/>
  </mergeCells>
  <printOptions horizontalCentered="1"/>
  <pageMargins left="0.31496062992125984" right="0.31496062992125984" top="0.55118110236220474" bottom="0.55118110236220474" header="0.31496062992125984" footer="0.31496062992125984"/>
  <pageSetup orientation="landscape" horizontalDpi="4294967292" r:id="rId1"/>
  <headerFooter>
    <oddFooter>Page &amp;P of &amp;N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Sheet64"/>
  <dimension ref="A1:N10"/>
  <sheetViews>
    <sheetView zoomScaleNormal="100" workbookViewId="0">
      <selection activeCell="I3" sqref="I3"/>
    </sheetView>
  </sheetViews>
  <sheetFormatPr defaultColWidth="9.140625" defaultRowHeight="12.75"/>
  <cols>
    <col min="1" max="1" width="5.85546875" style="119" bestFit="1" customWidth="1"/>
    <col min="2" max="2" width="12.5703125" style="119" customWidth="1"/>
    <col min="3" max="3" width="19.5703125" style="119" bestFit="1" customWidth="1"/>
    <col min="4" max="4" width="46.28515625" style="119" customWidth="1"/>
    <col min="5" max="5" width="5" style="119" bestFit="1" customWidth="1"/>
    <col min="6" max="6" width="6.28515625" style="119" bestFit="1" customWidth="1"/>
    <col min="7" max="7" width="15.140625" style="119" bestFit="1" customWidth="1"/>
    <col min="8" max="8" width="15.42578125" style="119" customWidth="1"/>
    <col min="9" max="9" width="10.5703125" style="119" bestFit="1" customWidth="1"/>
    <col min="10" max="10" width="11.42578125" style="127" bestFit="1" customWidth="1"/>
    <col min="11" max="11" width="9.42578125" style="119" bestFit="1" customWidth="1"/>
    <col min="12" max="16384" width="9.140625" style="119"/>
  </cols>
  <sheetData>
    <row r="1" spans="1:14" ht="25.5">
      <c r="A1" s="152" t="s">
        <v>0</v>
      </c>
      <c r="B1" s="152" t="s">
        <v>1</v>
      </c>
      <c r="C1" s="117" t="s">
        <v>778</v>
      </c>
      <c r="D1" s="117" t="s">
        <v>67</v>
      </c>
      <c r="E1" s="117" t="s">
        <v>3</v>
      </c>
      <c r="F1" s="117" t="s">
        <v>68</v>
      </c>
      <c r="G1" s="152" t="s">
        <v>69</v>
      </c>
      <c r="H1" s="152" t="s">
        <v>527</v>
      </c>
      <c r="I1" s="119" t="s">
        <v>394</v>
      </c>
      <c r="J1" s="120" t="s">
        <v>790</v>
      </c>
      <c r="K1" s="119" t="s">
        <v>529</v>
      </c>
      <c r="L1" s="119" t="s">
        <v>532</v>
      </c>
      <c r="N1" s="119" t="s">
        <v>74</v>
      </c>
    </row>
    <row r="2" spans="1:14" ht="153">
      <c r="A2" s="21">
        <v>1</v>
      </c>
      <c r="B2" s="164" t="s">
        <v>791</v>
      </c>
      <c r="C2" s="164" t="s">
        <v>792</v>
      </c>
      <c r="D2" s="57" t="s">
        <v>797</v>
      </c>
      <c r="E2" s="21" t="s">
        <v>75</v>
      </c>
      <c r="F2" s="23">
        <v>2</v>
      </c>
      <c r="G2" s="154">
        <f>I2*88*1.35</f>
        <v>308880</v>
      </c>
      <c r="H2" s="15">
        <f>G2*F2</f>
        <v>617760</v>
      </c>
      <c r="I2" s="124">
        <v>2600</v>
      </c>
      <c r="J2" s="125">
        <v>2450</v>
      </c>
    </row>
    <row r="3" spans="1:14" ht="114.75">
      <c r="A3" s="21">
        <v>2</v>
      </c>
      <c r="B3" s="164" t="s">
        <v>793</v>
      </c>
      <c r="C3" s="164" t="s">
        <v>794</v>
      </c>
      <c r="D3" s="57" t="s">
        <v>798</v>
      </c>
      <c r="E3" s="21" t="s">
        <v>75</v>
      </c>
      <c r="F3" s="23">
        <v>1</v>
      </c>
      <c r="G3" s="154">
        <f>I3*1.35*88</f>
        <v>415800</v>
      </c>
      <c r="H3" s="15">
        <f>G3*F3</f>
        <v>415800</v>
      </c>
      <c r="I3" s="124">
        <v>3500</v>
      </c>
      <c r="J3" s="125">
        <v>1100</v>
      </c>
    </row>
    <row r="4" spans="1:14" ht="63.75">
      <c r="A4" s="21">
        <v>3</v>
      </c>
      <c r="B4" s="164" t="s">
        <v>795</v>
      </c>
      <c r="C4" s="164" t="s">
        <v>796</v>
      </c>
      <c r="D4" s="57" t="s">
        <v>799</v>
      </c>
      <c r="E4" s="21" t="s">
        <v>75</v>
      </c>
      <c r="F4" s="23">
        <v>2</v>
      </c>
      <c r="G4" s="154">
        <v>100000</v>
      </c>
      <c r="H4" s="15">
        <f>G4*F4</f>
        <v>200000</v>
      </c>
      <c r="I4" s="124"/>
      <c r="J4" s="125"/>
    </row>
    <row r="5" spans="1:14">
      <c r="A5" s="21">
        <v>4</v>
      </c>
      <c r="B5" s="397" t="s">
        <v>76</v>
      </c>
      <c r="C5" s="397"/>
      <c r="D5" s="397"/>
      <c r="E5" s="397"/>
      <c r="F5" s="397"/>
      <c r="G5" s="397"/>
      <c r="H5" s="162">
        <f>SUM(H2:H4)</f>
        <v>1233560</v>
      </c>
    </row>
    <row r="6" spans="1:14">
      <c r="A6" s="21">
        <v>5</v>
      </c>
      <c r="B6" s="397" t="s">
        <v>650</v>
      </c>
      <c r="C6" s="397"/>
      <c r="D6" s="397"/>
      <c r="E6" s="397"/>
      <c r="F6" s="397"/>
      <c r="G6" s="397"/>
      <c r="H6" s="162">
        <f>H5*2%</f>
        <v>24671.200000000001</v>
      </c>
    </row>
    <row r="7" spans="1:14">
      <c r="A7" s="21">
        <v>6</v>
      </c>
      <c r="B7" s="397" t="s">
        <v>789</v>
      </c>
      <c r="C7" s="397"/>
      <c r="D7" s="397"/>
      <c r="E7" s="397"/>
      <c r="F7" s="397"/>
      <c r="G7" s="397"/>
      <c r="H7" s="162">
        <f>(H5+H6)*18%</f>
        <v>226481.61599999998</v>
      </c>
    </row>
    <row r="8" spans="1:14">
      <c r="A8" s="21">
        <v>7</v>
      </c>
      <c r="B8" s="397" t="s">
        <v>742</v>
      </c>
      <c r="C8" s="397"/>
      <c r="D8" s="397"/>
      <c r="E8" s="397"/>
      <c r="F8" s="397"/>
      <c r="G8" s="397"/>
      <c r="H8" s="162">
        <f>SUM(H5:H7)</f>
        <v>1484712.8159999999</v>
      </c>
    </row>
    <row r="9" spans="1:14">
      <c r="A9" s="398"/>
      <c r="B9" s="399"/>
      <c r="C9" s="399"/>
      <c r="D9" s="399"/>
      <c r="E9" s="399"/>
      <c r="F9" s="399"/>
      <c r="G9" s="399"/>
      <c r="H9" s="400"/>
    </row>
    <row r="10" spans="1:14" ht="180.95" customHeight="1">
      <c r="A10" s="128" t="s">
        <v>80</v>
      </c>
      <c r="B10" s="360" t="s">
        <v>800</v>
      </c>
      <c r="C10" s="360"/>
      <c r="D10" s="360"/>
      <c r="E10" s="360"/>
      <c r="F10" s="360"/>
      <c r="G10" s="360"/>
      <c r="H10" s="361"/>
    </row>
  </sheetData>
  <mergeCells count="6">
    <mergeCell ref="B10:H10"/>
    <mergeCell ref="B5:G5"/>
    <mergeCell ref="B6:G6"/>
    <mergeCell ref="B7:G7"/>
    <mergeCell ref="B8:G8"/>
    <mergeCell ref="A9:H9"/>
  </mergeCells>
  <printOptions horizontalCentered="1"/>
  <pageMargins left="0.31496062992125984" right="0.31496062992125984" top="0.55118110236220474" bottom="0.55118110236220474" header="0.31496062992125984" footer="0.31496062992125984"/>
  <pageSetup orientation="landscape" horizontalDpi="4294967292" r:id="rId1"/>
  <headerFooter>
    <oddFooter>Page &amp;P of &amp;N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Sheet65"/>
  <dimension ref="A1:N21"/>
  <sheetViews>
    <sheetView zoomScaleNormal="100" workbookViewId="0">
      <selection activeCell="B9" sqref="B9:J9"/>
    </sheetView>
  </sheetViews>
  <sheetFormatPr defaultColWidth="9.140625" defaultRowHeight="12.75"/>
  <cols>
    <col min="1" max="1" width="5.85546875" style="119" bestFit="1" customWidth="1"/>
    <col min="2" max="2" width="12.5703125" style="119" customWidth="1"/>
    <col min="3" max="3" width="17.42578125" style="119" bestFit="1" customWidth="1"/>
    <col min="4" max="4" width="61.85546875" style="119" customWidth="1"/>
    <col min="5" max="5" width="5" style="119" bestFit="1" customWidth="1"/>
    <col min="6" max="6" width="6.28515625" style="119" bestFit="1" customWidth="1"/>
    <col min="7" max="7" width="15.140625" style="119" bestFit="1" customWidth="1"/>
    <col min="8" max="8" width="15.42578125" style="119" customWidth="1"/>
    <col min="9" max="9" width="10.5703125" style="119" bestFit="1" customWidth="1"/>
    <col min="10" max="10" width="11.42578125" style="127" bestFit="1" customWidth="1"/>
    <col min="11" max="11" width="9.42578125" style="119" bestFit="1" customWidth="1"/>
    <col min="12" max="16384" width="9.140625" style="119"/>
  </cols>
  <sheetData>
    <row r="1" spans="1:14" ht="25.5">
      <c r="A1" s="152" t="s">
        <v>0</v>
      </c>
      <c r="B1" s="152" t="s">
        <v>1</v>
      </c>
      <c r="C1" s="117" t="s">
        <v>778</v>
      </c>
      <c r="D1" s="117" t="s">
        <v>67</v>
      </c>
      <c r="E1" s="117" t="s">
        <v>3</v>
      </c>
      <c r="F1" s="117" t="s">
        <v>68</v>
      </c>
      <c r="G1" s="152" t="s">
        <v>69</v>
      </c>
      <c r="H1" s="152" t="s">
        <v>527</v>
      </c>
      <c r="I1" s="119" t="s">
        <v>394</v>
      </c>
      <c r="J1" s="120" t="s">
        <v>145</v>
      </c>
      <c r="K1" s="119" t="s">
        <v>529</v>
      </c>
      <c r="L1" s="119" t="s">
        <v>532</v>
      </c>
      <c r="N1" s="119" t="s">
        <v>74</v>
      </c>
    </row>
    <row r="2" spans="1:14" ht="51">
      <c r="A2" s="21">
        <v>1</v>
      </c>
      <c r="B2" s="164" t="s">
        <v>257</v>
      </c>
      <c r="C2" s="164" t="s">
        <v>801</v>
      </c>
      <c r="D2" s="57" t="s">
        <v>802</v>
      </c>
      <c r="E2" s="21" t="s">
        <v>75</v>
      </c>
      <c r="F2" s="23">
        <v>3</v>
      </c>
      <c r="G2" s="154">
        <f>I2*88*1.35</f>
        <v>0</v>
      </c>
      <c r="H2" s="15">
        <f>G2*F2</f>
        <v>0</v>
      </c>
      <c r="I2" s="124"/>
      <c r="J2" s="125"/>
    </row>
    <row r="3" spans="1:14" ht="38.25">
      <c r="A3" s="21">
        <v>2</v>
      </c>
      <c r="B3" s="164" t="s">
        <v>258</v>
      </c>
      <c r="C3" s="164" t="s">
        <v>803</v>
      </c>
      <c r="D3" s="57" t="s">
        <v>804</v>
      </c>
      <c r="E3" s="21" t="s">
        <v>75</v>
      </c>
      <c r="F3" s="23">
        <v>3</v>
      </c>
      <c r="G3" s="154">
        <f t="shared" ref="G3:G13" si="0">I3*1.35*88</f>
        <v>0</v>
      </c>
      <c r="H3" s="15">
        <f t="shared" ref="H3:H13" si="1">G3*F3</f>
        <v>0</v>
      </c>
      <c r="I3" s="124"/>
      <c r="J3" s="125"/>
    </row>
    <row r="4" spans="1:14" ht="38.25">
      <c r="A4" s="21">
        <v>3</v>
      </c>
      <c r="B4" s="164" t="s">
        <v>259</v>
      </c>
      <c r="C4" s="164" t="s">
        <v>805</v>
      </c>
      <c r="D4" s="57" t="s">
        <v>806</v>
      </c>
      <c r="E4" s="21" t="s">
        <v>75</v>
      </c>
      <c r="F4" s="23">
        <v>1</v>
      </c>
      <c r="G4" s="154">
        <f t="shared" si="0"/>
        <v>0</v>
      </c>
      <c r="H4" s="15">
        <f t="shared" si="1"/>
        <v>0</v>
      </c>
      <c r="I4" s="124"/>
      <c r="J4" s="125"/>
    </row>
    <row r="5" spans="1:14" ht="38.25">
      <c r="A5" s="21">
        <v>4</v>
      </c>
      <c r="B5" s="164" t="s">
        <v>260</v>
      </c>
      <c r="C5" s="164" t="s">
        <v>807</v>
      </c>
      <c r="D5" s="57" t="s">
        <v>808</v>
      </c>
      <c r="E5" s="21" t="s">
        <v>75</v>
      </c>
      <c r="F5" s="23">
        <v>1</v>
      </c>
      <c r="G5" s="154">
        <f t="shared" si="0"/>
        <v>0</v>
      </c>
      <c r="H5" s="15">
        <f t="shared" si="1"/>
        <v>0</v>
      </c>
      <c r="I5" s="124"/>
      <c r="J5" s="125"/>
    </row>
    <row r="6" spans="1:14" ht="38.25">
      <c r="A6" s="21">
        <v>5</v>
      </c>
      <c r="B6" s="164" t="s">
        <v>261</v>
      </c>
      <c r="C6" s="164" t="s">
        <v>809</v>
      </c>
      <c r="D6" s="57" t="s">
        <v>810</v>
      </c>
      <c r="E6" s="21" t="s">
        <v>75</v>
      </c>
      <c r="F6" s="23">
        <v>1</v>
      </c>
      <c r="G6" s="154">
        <f t="shared" si="0"/>
        <v>0</v>
      </c>
      <c r="H6" s="15">
        <f t="shared" si="1"/>
        <v>0</v>
      </c>
      <c r="I6" s="124"/>
      <c r="J6" s="125"/>
    </row>
    <row r="7" spans="1:14" ht="38.25">
      <c r="A7" s="21">
        <v>6</v>
      </c>
      <c r="B7" s="164" t="s">
        <v>811</v>
      </c>
      <c r="C7" s="164" t="s">
        <v>812</v>
      </c>
      <c r="D7" s="57" t="s">
        <v>813</v>
      </c>
      <c r="E7" s="21" t="s">
        <v>75</v>
      </c>
      <c r="F7" s="23">
        <v>15</v>
      </c>
      <c r="G7" s="154">
        <f t="shared" si="0"/>
        <v>0</v>
      </c>
      <c r="H7" s="15">
        <f t="shared" si="1"/>
        <v>0</v>
      </c>
      <c r="I7" s="124"/>
      <c r="J7" s="125">
        <v>110</v>
      </c>
    </row>
    <row r="8" spans="1:14" ht="51">
      <c r="A8" s="21">
        <v>7</v>
      </c>
      <c r="B8" s="164" t="s">
        <v>814</v>
      </c>
      <c r="C8" s="164" t="s">
        <v>815</v>
      </c>
      <c r="D8" s="57" t="s">
        <v>816</v>
      </c>
      <c r="E8" s="21" t="s">
        <v>75</v>
      </c>
      <c r="F8" s="23">
        <v>5</v>
      </c>
      <c r="G8" s="154">
        <f t="shared" si="0"/>
        <v>0</v>
      </c>
      <c r="H8" s="15">
        <f t="shared" si="1"/>
        <v>0</v>
      </c>
      <c r="I8" s="124"/>
      <c r="J8" s="125">
        <v>120</v>
      </c>
    </row>
    <row r="9" spans="1:14" ht="38.25">
      <c r="A9" s="21">
        <v>8</v>
      </c>
      <c r="B9" s="164" t="s">
        <v>817</v>
      </c>
      <c r="C9" s="164" t="s">
        <v>818</v>
      </c>
      <c r="D9" s="57" t="s">
        <v>819</v>
      </c>
      <c r="E9" s="21" t="s">
        <v>75</v>
      </c>
      <c r="F9" s="23">
        <v>5</v>
      </c>
      <c r="G9" s="154">
        <f>I9</f>
        <v>17550</v>
      </c>
      <c r="H9" s="15">
        <f t="shared" si="1"/>
        <v>87750</v>
      </c>
      <c r="I9" s="124">
        <v>17550</v>
      </c>
      <c r="J9" s="125">
        <v>120</v>
      </c>
    </row>
    <row r="10" spans="1:14" ht="25.5">
      <c r="A10" s="21">
        <v>9</v>
      </c>
      <c r="B10" s="164" t="s">
        <v>820</v>
      </c>
      <c r="C10" s="164" t="s">
        <v>815</v>
      </c>
      <c r="D10" s="57" t="s">
        <v>821</v>
      </c>
      <c r="E10" s="21" t="s">
        <v>75</v>
      </c>
      <c r="F10" s="23">
        <v>1</v>
      </c>
      <c r="G10" s="154">
        <f t="shared" si="0"/>
        <v>0</v>
      </c>
      <c r="H10" s="15">
        <f t="shared" si="1"/>
        <v>0</v>
      </c>
      <c r="I10" s="124"/>
      <c r="J10" s="125"/>
    </row>
    <row r="11" spans="1:14" ht="38.25">
      <c r="A11" s="21">
        <v>10</v>
      </c>
      <c r="B11" s="164" t="s">
        <v>822</v>
      </c>
      <c r="C11" s="164" t="s">
        <v>823</v>
      </c>
      <c r="D11" s="57" t="s">
        <v>824</v>
      </c>
      <c r="E11" s="21" t="s">
        <v>75</v>
      </c>
      <c r="F11" s="23">
        <v>1</v>
      </c>
      <c r="G11" s="154">
        <f t="shared" si="0"/>
        <v>0</v>
      </c>
      <c r="H11" s="15">
        <f t="shared" si="1"/>
        <v>0</v>
      </c>
      <c r="I11" s="124"/>
      <c r="J11" s="125">
        <v>9000</v>
      </c>
    </row>
    <row r="12" spans="1:14" ht="51">
      <c r="A12" s="21">
        <v>11</v>
      </c>
      <c r="B12" s="164" t="s">
        <v>825</v>
      </c>
      <c r="C12" s="164" t="s">
        <v>826</v>
      </c>
      <c r="D12" s="57" t="s">
        <v>827</v>
      </c>
      <c r="E12" s="21" t="s">
        <v>75</v>
      </c>
      <c r="F12" s="23">
        <v>2</v>
      </c>
      <c r="G12" s="154">
        <f t="shared" si="0"/>
        <v>0</v>
      </c>
      <c r="H12" s="15">
        <f t="shared" si="1"/>
        <v>0</v>
      </c>
      <c r="I12" s="124"/>
      <c r="J12" s="125"/>
    </row>
    <row r="13" spans="1:14" ht="51">
      <c r="A13" s="21">
        <v>12</v>
      </c>
      <c r="B13" s="164" t="s">
        <v>307</v>
      </c>
      <c r="C13" s="164" t="s">
        <v>828</v>
      </c>
      <c r="D13" s="57" t="s">
        <v>829</v>
      </c>
      <c r="E13" s="21" t="s">
        <v>75</v>
      </c>
      <c r="F13" s="23">
        <v>40</v>
      </c>
      <c r="G13" s="154">
        <f t="shared" si="0"/>
        <v>10098.000000000002</v>
      </c>
      <c r="H13" s="15">
        <f t="shared" si="1"/>
        <v>403920.00000000006</v>
      </c>
      <c r="I13" s="124">
        <v>85</v>
      </c>
      <c r="J13" s="125"/>
    </row>
    <row r="14" spans="1:14" ht="25.5">
      <c r="A14" s="21">
        <v>13</v>
      </c>
      <c r="B14" s="164" t="s">
        <v>830</v>
      </c>
      <c r="C14" s="164" t="s">
        <v>831</v>
      </c>
      <c r="D14" s="57" t="s">
        <v>832</v>
      </c>
      <c r="E14" s="21" t="s">
        <v>75</v>
      </c>
      <c r="F14" s="23">
        <v>2</v>
      </c>
      <c r="G14" s="154">
        <f>I14*1.35*88</f>
        <v>0</v>
      </c>
      <c r="H14" s="15">
        <f>G14*F14</f>
        <v>0</v>
      </c>
      <c r="I14" s="124"/>
      <c r="J14" s="125">
        <v>20</v>
      </c>
    </row>
    <row r="15" spans="1:14">
      <c r="A15" s="21">
        <v>14</v>
      </c>
      <c r="B15" s="164"/>
      <c r="C15" s="164"/>
      <c r="D15" s="57"/>
      <c r="E15" s="21" t="s">
        <v>75</v>
      </c>
      <c r="F15" s="23">
        <v>2</v>
      </c>
      <c r="G15" s="154">
        <v>100000</v>
      </c>
      <c r="H15" s="15">
        <f>G15*F15</f>
        <v>200000</v>
      </c>
      <c r="I15" s="124"/>
      <c r="J15" s="125"/>
    </row>
    <row r="16" spans="1:14">
      <c r="A16" s="21">
        <v>4</v>
      </c>
      <c r="B16" s="397" t="s">
        <v>76</v>
      </c>
      <c r="C16" s="397"/>
      <c r="D16" s="397"/>
      <c r="E16" s="397"/>
      <c r="F16" s="397"/>
      <c r="G16" s="397"/>
      <c r="H16" s="162">
        <f>SUM(H2:H15)</f>
        <v>691670</v>
      </c>
    </row>
    <row r="17" spans="1:8">
      <c r="A17" s="21">
        <v>5</v>
      </c>
      <c r="B17" s="397" t="s">
        <v>650</v>
      </c>
      <c r="C17" s="397"/>
      <c r="D17" s="397"/>
      <c r="E17" s="397"/>
      <c r="F17" s="397"/>
      <c r="G17" s="397"/>
      <c r="H17" s="162">
        <f>H16*2%</f>
        <v>13833.4</v>
      </c>
    </row>
    <row r="18" spans="1:8">
      <c r="A18" s="21">
        <v>6</v>
      </c>
      <c r="B18" s="397" t="s">
        <v>789</v>
      </c>
      <c r="C18" s="397"/>
      <c r="D18" s="397"/>
      <c r="E18" s="397"/>
      <c r="F18" s="397"/>
      <c r="G18" s="397"/>
      <c r="H18" s="162">
        <f>(H16+H17)*18%</f>
        <v>126990.61199999999</v>
      </c>
    </row>
    <row r="19" spans="1:8">
      <c r="A19" s="21">
        <v>7</v>
      </c>
      <c r="B19" s="397" t="s">
        <v>742</v>
      </c>
      <c r="C19" s="397"/>
      <c r="D19" s="397"/>
      <c r="E19" s="397"/>
      <c r="F19" s="397"/>
      <c r="G19" s="397"/>
      <c r="H19" s="162">
        <f>SUM(H16:H18)</f>
        <v>832494.01199999999</v>
      </c>
    </row>
    <row r="20" spans="1:8">
      <c r="A20" s="398"/>
      <c r="B20" s="399"/>
      <c r="C20" s="399"/>
      <c r="D20" s="399"/>
      <c r="E20" s="399"/>
      <c r="F20" s="399"/>
      <c r="G20" s="399"/>
      <c r="H20" s="400"/>
    </row>
    <row r="21" spans="1:8" ht="180.95" customHeight="1">
      <c r="A21" s="128" t="s">
        <v>80</v>
      </c>
      <c r="B21" s="360" t="s">
        <v>800</v>
      </c>
      <c r="C21" s="360"/>
      <c r="D21" s="360"/>
      <c r="E21" s="360"/>
      <c r="F21" s="360"/>
      <c r="G21" s="360"/>
      <c r="H21" s="361"/>
    </row>
  </sheetData>
  <mergeCells count="6">
    <mergeCell ref="B21:H21"/>
    <mergeCell ref="B16:G16"/>
    <mergeCell ref="B17:G17"/>
    <mergeCell ref="B18:G18"/>
    <mergeCell ref="B19:G19"/>
    <mergeCell ref="A20:H20"/>
  </mergeCells>
  <printOptions horizontalCentered="1"/>
  <pageMargins left="0.31496062992125984" right="0.31496062992125984" top="0.55118110236220474" bottom="0.55118110236220474" header="0.31496062992125984" footer="0.31496062992125984"/>
  <pageSetup orientation="landscape" horizontalDpi="4294967292" r:id="rId1"/>
  <headerFooter>
    <oddFooter>Page &amp;P of &amp;N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Sheet66"/>
  <dimension ref="A1:N43"/>
  <sheetViews>
    <sheetView zoomScaleNormal="100" workbookViewId="0">
      <pane ySplit="1" topLeftCell="A21" activePane="bottomLeft" state="frozen"/>
      <selection pane="bottomLeft" activeCell="G27" sqref="G27"/>
    </sheetView>
  </sheetViews>
  <sheetFormatPr defaultColWidth="9.140625" defaultRowHeight="12.75"/>
  <cols>
    <col min="1" max="1" width="5.85546875" style="119" bestFit="1" customWidth="1"/>
    <col min="2" max="2" width="12.5703125" style="119" customWidth="1"/>
    <col min="3" max="3" width="17.42578125" style="119" bestFit="1" customWidth="1"/>
    <col min="4" max="4" width="61.85546875" style="119" customWidth="1"/>
    <col min="5" max="5" width="5" style="119" bestFit="1" customWidth="1"/>
    <col min="6" max="6" width="6.28515625" style="119" bestFit="1" customWidth="1"/>
    <col min="7" max="7" width="15.140625" style="119" bestFit="1" customWidth="1"/>
    <col min="8" max="8" width="15.42578125" style="119" customWidth="1"/>
    <col min="9" max="9" width="10.5703125" style="119" bestFit="1" customWidth="1"/>
    <col min="10" max="10" width="11.42578125" style="127" bestFit="1" customWidth="1"/>
    <col min="11" max="11" width="9.42578125" style="119" bestFit="1" customWidth="1"/>
    <col min="12" max="16384" width="9.140625" style="119"/>
  </cols>
  <sheetData>
    <row r="1" spans="1:14" ht="25.5">
      <c r="A1" s="152" t="s">
        <v>0</v>
      </c>
      <c r="B1" s="152" t="s">
        <v>1</v>
      </c>
      <c r="C1" s="117" t="s">
        <v>778</v>
      </c>
      <c r="D1" s="117" t="s">
        <v>67</v>
      </c>
      <c r="E1" s="117" t="s">
        <v>3</v>
      </c>
      <c r="F1" s="117" t="s">
        <v>68</v>
      </c>
      <c r="G1" s="152" t="s">
        <v>69</v>
      </c>
      <c r="H1" s="152" t="s">
        <v>527</v>
      </c>
      <c r="I1" s="119" t="s">
        <v>394</v>
      </c>
      <c r="J1" s="120" t="s">
        <v>316</v>
      </c>
      <c r="K1" s="119" t="s">
        <v>925</v>
      </c>
      <c r="L1" s="119" t="s">
        <v>532</v>
      </c>
      <c r="N1" s="119" t="s">
        <v>74</v>
      </c>
    </row>
    <row r="2" spans="1:14" ht="38.25">
      <c r="A2" s="21">
        <v>1</v>
      </c>
      <c r="B2" s="21" t="s">
        <v>833</v>
      </c>
      <c r="C2" s="21" t="s">
        <v>834</v>
      </c>
      <c r="D2" s="57" t="s">
        <v>835</v>
      </c>
      <c r="E2" s="21" t="s">
        <v>75</v>
      </c>
      <c r="F2" s="23">
        <v>15</v>
      </c>
      <c r="G2" s="154">
        <f>I2*84*1.2</f>
        <v>80640</v>
      </c>
      <c r="H2" s="15">
        <f>G2*F2</f>
        <v>1209600</v>
      </c>
      <c r="I2" s="124">
        <v>800</v>
      </c>
      <c r="J2" s="125"/>
      <c r="K2" s="119">
        <f>4000/7</f>
        <v>571.42857142857144</v>
      </c>
    </row>
    <row r="3" spans="1:14" ht="89.25">
      <c r="A3" s="21">
        <v>2</v>
      </c>
      <c r="B3" s="21" t="s">
        <v>836</v>
      </c>
      <c r="C3" s="21" t="s">
        <v>837</v>
      </c>
      <c r="D3" s="57" t="s">
        <v>838</v>
      </c>
      <c r="E3" s="21" t="s">
        <v>75</v>
      </c>
      <c r="F3" s="23">
        <v>6</v>
      </c>
      <c r="G3" s="154">
        <v>0</v>
      </c>
      <c r="H3" s="15">
        <f>G3*F3</f>
        <v>0</v>
      </c>
      <c r="I3" s="124" t="s">
        <v>116</v>
      </c>
      <c r="J3" s="125"/>
    </row>
    <row r="4" spans="1:14" ht="76.5">
      <c r="A4" s="21">
        <v>3</v>
      </c>
      <c r="B4" s="21" t="s">
        <v>839</v>
      </c>
      <c r="C4" s="21" t="s">
        <v>840</v>
      </c>
      <c r="D4" s="57" t="s">
        <v>841</v>
      </c>
      <c r="E4" s="21" t="s">
        <v>75</v>
      </c>
      <c r="F4" s="23">
        <v>6</v>
      </c>
      <c r="G4" s="154">
        <v>0</v>
      </c>
      <c r="H4" s="15">
        <f>G4*F4</f>
        <v>0</v>
      </c>
      <c r="I4" s="124" t="s">
        <v>116</v>
      </c>
      <c r="J4" s="125"/>
    </row>
    <row r="5" spans="1:14" ht="89.25">
      <c r="A5" s="21">
        <v>4</v>
      </c>
      <c r="B5" s="21" t="s">
        <v>842</v>
      </c>
      <c r="C5" s="21" t="s">
        <v>843</v>
      </c>
      <c r="D5" s="57" t="s">
        <v>844</v>
      </c>
      <c r="E5" s="21" t="s">
        <v>75</v>
      </c>
      <c r="F5" s="23">
        <v>6</v>
      </c>
      <c r="G5" s="154">
        <v>0</v>
      </c>
      <c r="H5" s="15">
        <f>G5*F5</f>
        <v>0</v>
      </c>
      <c r="I5" s="124" t="s">
        <v>116</v>
      </c>
      <c r="J5" s="125"/>
    </row>
    <row r="6" spans="1:14" ht="51">
      <c r="A6" s="21">
        <v>5</v>
      </c>
      <c r="B6" s="21" t="s">
        <v>845</v>
      </c>
      <c r="C6" s="21" t="s">
        <v>846</v>
      </c>
      <c r="D6" s="57" t="s">
        <v>847</v>
      </c>
      <c r="E6" s="21" t="s">
        <v>75</v>
      </c>
      <c r="F6" s="23">
        <v>10</v>
      </c>
      <c r="G6" s="154">
        <f t="shared" ref="G6:G17" si="0">I6*84*1.2</f>
        <v>30240</v>
      </c>
      <c r="H6" s="15">
        <f t="shared" ref="H6:H37" si="1">G6*F6</f>
        <v>302400</v>
      </c>
      <c r="I6" s="124">
        <v>300</v>
      </c>
      <c r="J6" s="125"/>
    </row>
    <row r="7" spans="1:14" ht="38.25">
      <c r="A7" s="21">
        <v>6</v>
      </c>
      <c r="B7" s="21" t="s">
        <v>848</v>
      </c>
      <c r="C7" s="21" t="s">
        <v>849</v>
      </c>
      <c r="D7" s="57" t="s">
        <v>850</v>
      </c>
      <c r="E7" s="21" t="s">
        <v>75</v>
      </c>
      <c r="F7" s="23">
        <v>6</v>
      </c>
      <c r="G7" s="154">
        <f t="shared" si="0"/>
        <v>30240</v>
      </c>
      <c r="H7" s="15">
        <f t="shared" si="1"/>
        <v>181440</v>
      </c>
      <c r="I7" s="124">
        <v>300</v>
      </c>
      <c r="J7" s="125"/>
    </row>
    <row r="8" spans="1:14" ht="38.25">
      <c r="A8" s="21">
        <v>7</v>
      </c>
      <c r="B8" s="21" t="s">
        <v>851</v>
      </c>
      <c r="C8" s="21" t="s">
        <v>852</v>
      </c>
      <c r="D8" s="57" t="s">
        <v>853</v>
      </c>
      <c r="E8" s="21" t="s">
        <v>75</v>
      </c>
      <c r="F8" s="23">
        <v>6</v>
      </c>
      <c r="G8" s="154">
        <f t="shared" si="0"/>
        <v>30240</v>
      </c>
      <c r="H8" s="15">
        <f t="shared" si="1"/>
        <v>181440</v>
      </c>
      <c r="I8" s="124">
        <v>300</v>
      </c>
      <c r="J8" s="125"/>
    </row>
    <row r="9" spans="1:14" ht="38.25">
      <c r="A9" s="21">
        <v>8</v>
      </c>
      <c r="B9" s="21" t="s">
        <v>854</v>
      </c>
      <c r="C9" s="21" t="s">
        <v>855</v>
      </c>
      <c r="D9" s="57" t="s">
        <v>856</v>
      </c>
      <c r="E9" s="21" t="s">
        <v>75</v>
      </c>
      <c r="F9" s="23">
        <v>5</v>
      </c>
      <c r="G9" s="154">
        <f t="shared" si="0"/>
        <v>30240</v>
      </c>
      <c r="H9" s="15">
        <f t="shared" si="1"/>
        <v>151200</v>
      </c>
      <c r="I9" s="124">
        <v>300</v>
      </c>
      <c r="J9" s="125"/>
    </row>
    <row r="10" spans="1:14" ht="51">
      <c r="A10" s="21">
        <v>9</v>
      </c>
      <c r="B10" s="21" t="s">
        <v>857</v>
      </c>
      <c r="C10" s="21" t="s">
        <v>858</v>
      </c>
      <c r="D10" s="57" t="s">
        <v>859</v>
      </c>
      <c r="E10" s="21" t="s">
        <v>75</v>
      </c>
      <c r="F10" s="23">
        <v>5</v>
      </c>
      <c r="G10" s="154">
        <f t="shared" si="0"/>
        <v>30240</v>
      </c>
      <c r="H10" s="15">
        <f t="shared" si="1"/>
        <v>151200</v>
      </c>
      <c r="I10" s="124">
        <v>300</v>
      </c>
      <c r="J10" s="125"/>
    </row>
    <row r="11" spans="1:14" ht="38.25">
      <c r="A11" s="21">
        <v>10</v>
      </c>
      <c r="B11" s="21" t="s">
        <v>860</v>
      </c>
      <c r="C11" s="21" t="s">
        <v>861</v>
      </c>
      <c r="D11" s="57" t="s">
        <v>862</v>
      </c>
      <c r="E11" s="21" t="s">
        <v>75</v>
      </c>
      <c r="F11" s="23">
        <v>4</v>
      </c>
      <c r="G11" s="154">
        <f t="shared" si="0"/>
        <v>30240</v>
      </c>
      <c r="H11" s="15">
        <f t="shared" si="1"/>
        <v>120960</v>
      </c>
      <c r="I11" s="124">
        <v>300</v>
      </c>
      <c r="J11" s="125"/>
    </row>
    <row r="12" spans="1:14" ht="38.25">
      <c r="A12" s="21">
        <v>11</v>
      </c>
      <c r="B12" s="21" t="s">
        <v>863</v>
      </c>
      <c r="C12" s="21" t="s">
        <v>864</v>
      </c>
      <c r="D12" s="57" t="s">
        <v>865</v>
      </c>
      <c r="E12" s="21" t="s">
        <v>75</v>
      </c>
      <c r="F12" s="23">
        <v>4</v>
      </c>
      <c r="G12" s="154">
        <f t="shared" si="0"/>
        <v>30240</v>
      </c>
      <c r="H12" s="15">
        <f t="shared" si="1"/>
        <v>120960</v>
      </c>
      <c r="I12" s="124">
        <v>300</v>
      </c>
      <c r="J12" s="125"/>
    </row>
    <row r="13" spans="1:14" ht="38.25">
      <c r="A13" s="21">
        <v>12</v>
      </c>
      <c r="B13" s="21" t="s">
        <v>866</v>
      </c>
      <c r="C13" s="21" t="s">
        <v>867</v>
      </c>
      <c r="D13" s="57" t="s">
        <v>868</v>
      </c>
      <c r="E13" s="21" t="s">
        <v>75</v>
      </c>
      <c r="F13" s="23">
        <v>4</v>
      </c>
      <c r="G13" s="154">
        <f t="shared" si="0"/>
        <v>30240</v>
      </c>
      <c r="H13" s="15">
        <f t="shared" si="1"/>
        <v>120960</v>
      </c>
      <c r="I13" s="124">
        <v>300</v>
      </c>
      <c r="J13" s="125"/>
    </row>
    <row r="14" spans="1:14" ht="51">
      <c r="A14" s="21">
        <v>13</v>
      </c>
      <c r="B14" s="21" t="s">
        <v>869</v>
      </c>
      <c r="C14" s="21" t="s">
        <v>870</v>
      </c>
      <c r="D14" s="57" t="s">
        <v>871</v>
      </c>
      <c r="E14" s="21" t="s">
        <v>75</v>
      </c>
      <c r="F14" s="23">
        <v>4</v>
      </c>
      <c r="G14" s="154">
        <f t="shared" si="0"/>
        <v>30240</v>
      </c>
      <c r="H14" s="15">
        <f t="shared" si="1"/>
        <v>120960</v>
      </c>
      <c r="I14" s="124">
        <v>300</v>
      </c>
      <c r="J14" s="125"/>
    </row>
    <row r="15" spans="1:14" ht="102">
      <c r="A15" s="21">
        <v>14</v>
      </c>
      <c r="B15" s="21" t="s">
        <v>555</v>
      </c>
      <c r="C15" s="21" t="s">
        <v>872</v>
      </c>
      <c r="D15" s="57" t="s">
        <v>873</v>
      </c>
      <c r="E15" s="21" t="s">
        <v>75</v>
      </c>
      <c r="F15" s="23">
        <v>9</v>
      </c>
      <c r="G15" s="154">
        <f t="shared" si="0"/>
        <v>7056</v>
      </c>
      <c r="H15" s="15">
        <f t="shared" si="1"/>
        <v>63504</v>
      </c>
      <c r="I15" s="124">
        <v>70</v>
      </c>
      <c r="J15" s="125">
        <f>1875/7</f>
        <v>267.85714285714283</v>
      </c>
    </row>
    <row r="16" spans="1:14" ht="51">
      <c r="A16" s="21">
        <v>15</v>
      </c>
      <c r="B16" s="21" t="s">
        <v>874</v>
      </c>
      <c r="C16" s="21" t="s">
        <v>875</v>
      </c>
      <c r="D16" s="57" t="s">
        <v>876</v>
      </c>
      <c r="E16" s="21" t="s">
        <v>75</v>
      </c>
      <c r="F16" s="23">
        <v>6</v>
      </c>
      <c r="G16" s="154">
        <f t="shared" si="0"/>
        <v>312480</v>
      </c>
      <c r="H16" s="15">
        <f t="shared" si="1"/>
        <v>1874880</v>
      </c>
      <c r="I16" s="124">
        <v>3100</v>
      </c>
      <c r="J16" s="125"/>
    </row>
    <row r="17" spans="1:11" ht="38.25">
      <c r="A17" s="21">
        <v>16</v>
      </c>
      <c r="B17" s="21" t="s">
        <v>877</v>
      </c>
      <c r="C17" s="21" t="s">
        <v>878</v>
      </c>
      <c r="D17" s="57" t="s">
        <v>879</v>
      </c>
      <c r="E17" s="21" t="s">
        <v>75</v>
      </c>
      <c r="F17" s="23">
        <v>3</v>
      </c>
      <c r="G17" s="154">
        <f t="shared" si="0"/>
        <v>187488</v>
      </c>
      <c r="H17" s="15">
        <f>G17*F17</f>
        <v>562464</v>
      </c>
      <c r="I17" s="124">
        <v>1860</v>
      </c>
      <c r="J17" s="166" t="s">
        <v>1194</v>
      </c>
    </row>
    <row r="18" spans="1:11" ht="25.5">
      <c r="A18" s="21">
        <v>17</v>
      </c>
      <c r="B18" s="21" t="s">
        <v>880</v>
      </c>
      <c r="C18" s="21" t="s">
        <v>881</v>
      </c>
      <c r="D18" s="57" t="s">
        <v>882</v>
      </c>
      <c r="E18" s="21" t="s">
        <v>75</v>
      </c>
      <c r="F18" s="23">
        <v>15</v>
      </c>
      <c r="G18" s="154">
        <f>I18*84*1.2</f>
        <v>43344</v>
      </c>
      <c r="H18" s="15">
        <f>G18*F18</f>
        <v>650160</v>
      </c>
      <c r="I18" s="124">
        <v>430</v>
      </c>
      <c r="J18" s="125"/>
      <c r="K18" s="119">
        <f>2600/7</f>
        <v>371.42857142857144</v>
      </c>
    </row>
    <row r="19" spans="1:11" ht="25.5">
      <c r="A19" s="21">
        <v>18</v>
      </c>
      <c r="B19" s="21" t="s">
        <v>883</v>
      </c>
      <c r="C19" s="21" t="s">
        <v>884</v>
      </c>
      <c r="D19" s="57" t="s">
        <v>885</v>
      </c>
      <c r="E19" s="21" t="s">
        <v>75</v>
      </c>
      <c r="F19" s="23">
        <v>36</v>
      </c>
      <c r="G19" s="165">
        <f>I19*84*1.2</f>
        <v>34372.799999999996</v>
      </c>
      <c r="H19" s="15">
        <f t="shared" si="1"/>
        <v>1237420.7999999998</v>
      </c>
      <c r="I19" s="124">
        <f>1.1*310</f>
        <v>341</v>
      </c>
      <c r="J19" s="125">
        <v>310</v>
      </c>
    </row>
    <row r="20" spans="1:11" ht="25.5">
      <c r="A20" s="21">
        <v>19</v>
      </c>
      <c r="B20" s="21" t="s">
        <v>886</v>
      </c>
      <c r="C20" s="21" t="s">
        <v>887</v>
      </c>
      <c r="D20" s="57" t="s">
        <v>888</v>
      </c>
      <c r="E20" s="21" t="s">
        <v>75</v>
      </c>
      <c r="F20" s="23">
        <v>12</v>
      </c>
      <c r="G20" s="154">
        <v>0</v>
      </c>
      <c r="H20" s="15">
        <f>G20*F20</f>
        <v>0</v>
      </c>
      <c r="I20" s="124" t="s">
        <v>116</v>
      </c>
      <c r="J20" s="125"/>
    </row>
    <row r="21" spans="1:11" ht="38.25">
      <c r="A21" s="21">
        <v>20</v>
      </c>
      <c r="B21" s="21" t="s">
        <v>889</v>
      </c>
      <c r="C21" s="21" t="s">
        <v>890</v>
      </c>
      <c r="D21" s="57" t="s">
        <v>891</v>
      </c>
      <c r="E21" s="21" t="s">
        <v>75</v>
      </c>
      <c r="F21" s="23">
        <v>120</v>
      </c>
      <c r="G21" s="154">
        <f>I21*84*1.2</f>
        <v>1209.5999999999999</v>
      </c>
      <c r="H21" s="15">
        <f t="shared" si="1"/>
        <v>145152</v>
      </c>
      <c r="I21" s="124">
        <v>12</v>
      </c>
      <c r="J21" s="125"/>
    </row>
    <row r="22" spans="1:11" ht="25.5">
      <c r="A22" s="21">
        <v>21</v>
      </c>
      <c r="B22" s="21" t="s">
        <v>892</v>
      </c>
      <c r="C22" s="21" t="s">
        <v>893</v>
      </c>
      <c r="D22" s="57" t="s">
        <v>894</v>
      </c>
      <c r="E22" s="21" t="s">
        <v>75</v>
      </c>
      <c r="F22" s="23">
        <v>3</v>
      </c>
      <c r="G22" s="154">
        <f>I22*84*1.2</f>
        <v>36086.400000000001</v>
      </c>
      <c r="H22" s="15">
        <f t="shared" si="1"/>
        <v>108259.20000000001</v>
      </c>
      <c r="I22" s="124">
        <v>358</v>
      </c>
      <c r="J22" s="125">
        <f>2600/7</f>
        <v>371.42857142857144</v>
      </c>
    </row>
    <row r="23" spans="1:11" ht="38.25">
      <c r="A23" s="21">
        <v>22</v>
      </c>
      <c r="B23" s="21" t="s">
        <v>895</v>
      </c>
      <c r="C23" s="21" t="s">
        <v>896</v>
      </c>
      <c r="D23" s="57" t="s">
        <v>897</v>
      </c>
      <c r="E23" s="21" t="s">
        <v>75</v>
      </c>
      <c r="F23" s="23">
        <v>3</v>
      </c>
      <c r="G23" s="165">
        <f>I23*84*1.2</f>
        <v>103007.52</v>
      </c>
      <c r="H23" s="15">
        <f>G23*F23</f>
        <v>309022.56</v>
      </c>
      <c r="I23" s="124">
        <f>1.1*929</f>
        <v>1021.9000000000001</v>
      </c>
      <c r="J23" s="125"/>
    </row>
    <row r="24" spans="1:11" ht="51">
      <c r="A24" s="21">
        <v>23</v>
      </c>
      <c r="B24" s="21" t="s">
        <v>898</v>
      </c>
      <c r="C24" s="21" t="s">
        <v>899</v>
      </c>
      <c r="D24" s="57" t="s">
        <v>900</v>
      </c>
      <c r="E24" s="21" t="s">
        <v>75</v>
      </c>
      <c r="F24" s="23">
        <v>12</v>
      </c>
      <c r="G24" s="165">
        <f>I24*84*1.2</f>
        <v>5544.0000000000009</v>
      </c>
      <c r="H24" s="15">
        <f>G24*F24</f>
        <v>66528.000000000015</v>
      </c>
      <c r="I24" s="124">
        <f>1.1*50</f>
        <v>55.000000000000007</v>
      </c>
      <c r="J24" s="125"/>
    </row>
    <row r="25" spans="1:11" ht="38.25">
      <c r="A25" s="21">
        <v>24</v>
      </c>
      <c r="B25" s="21" t="s">
        <v>257</v>
      </c>
      <c r="C25" s="21" t="s">
        <v>901</v>
      </c>
      <c r="D25" s="57" t="s">
        <v>902</v>
      </c>
      <c r="E25" s="21" t="s">
        <v>75</v>
      </c>
      <c r="F25" s="23">
        <v>3</v>
      </c>
      <c r="G25" s="154">
        <v>0</v>
      </c>
      <c r="H25" s="15">
        <f t="shared" si="1"/>
        <v>0</v>
      </c>
      <c r="I25" s="124" t="s">
        <v>116</v>
      </c>
      <c r="J25" s="125"/>
    </row>
    <row r="26" spans="1:11" ht="38.25">
      <c r="A26" s="21">
        <v>25</v>
      </c>
      <c r="B26" s="21" t="s">
        <v>258</v>
      </c>
      <c r="C26" s="21" t="s">
        <v>903</v>
      </c>
      <c r="D26" s="57" t="s">
        <v>904</v>
      </c>
      <c r="E26" s="21" t="s">
        <v>75</v>
      </c>
      <c r="F26" s="23">
        <v>3</v>
      </c>
      <c r="G26" s="154">
        <v>0</v>
      </c>
      <c r="H26" s="15">
        <f t="shared" si="1"/>
        <v>0</v>
      </c>
      <c r="I26" s="124" t="s">
        <v>116</v>
      </c>
      <c r="J26" s="125"/>
      <c r="K26" s="119">
        <f>2600/7</f>
        <v>371.42857142857144</v>
      </c>
    </row>
    <row r="27" spans="1:11" ht="38.25">
      <c r="A27" s="21">
        <v>26</v>
      </c>
      <c r="B27" s="21" t="s">
        <v>259</v>
      </c>
      <c r="C27" s="21" t="s">
        <v>905</v>
      </c>
      <c r="D27" s="57" t="s">
        <v>906</v>
      </c>
      <c r="E27" s="21" t="s">
        <v>75</v>
      </c>
      <c r="F27" s="23">
        <v>1</v>
      </c>
      <c r="G27" s="154">
        <v>0</v>
      </c>
      <c r="H27" s="15">
        <f t="shared" si="1"/>
        <v>0</v>
      </c>
      <c r="I27" s="124" t="s">
        <v>116</v>
      </c>
      <c r="J27" s="125"/>
    </row>
    <row r="28" spans="1:11" ht="38.25">
      <c r="A28" s="21">
        <v>27</v>
      </c>
      <c r="B28" s="21" t="s">
        <v>260</v>
      </c>
      <c r="C28" s="21" t="s">
        <v>907</v>
      </c>
      <c r="D28" s="57" t="s">
        <v>908</v>
      </c>
      <c r="E28" s="21" t="s">
        <v>75</v>
      </c>
      <c r="F28" s="23">
        <v>1</v>
      </c>
      <c r="G28" s="154">
        <v>0</v>
      </c>
      <c r="H28" s="15">
        <f t="shared" si="1"/>
        <v>0</v>
      </c>
      <c r="I28" s="124" t="s">
        <v>116</v>
      </c>
      <c r="J28" s="125"/>
    </row>
    <row r="29" spans="1:11" ht="38.25">
      <c r="A29" s="21">
        <v>28</v>
      </c>
      <c r="B29" s="21" t="s">
        <v>261</v>
      </c>
      <c r="C29" s="21" t="s">
        <v>909</v>
      </c>
      <c r="D29" s="57" t="s">
        <v>910</v>
      </c>
      <c r="E29" s="21" t="s">
        <v>75</v>
      </c>
      <c r="F29" s="23">
        <v>1</v>
      </c>
      <c r="G29" s="154">
        <v>0</v>
      </c>
      <c r="H29" s="15">
        <f t="shared" si="1"/>
        <v>0</v>
      </c>
      <c r="I29" s="124" t="s">
        <v>116</v>
      </c>
      <c r="J29" s="125"/>
    </row>
    <row r="30" spans="1:11" ht="38.25">
      <c r="A30" s="21">
        <v>29</v>
      </c>
      <c r="B30" s="21" t="s">
        <v>811</v>
      </c>
      <c r="C30" s="21" t="s">
        <v>911</v>
      </c>
      <c r="D30" s="57" t="s">
        <v>912</v>
      </c>
      <c r="E30" s="21" t="s">
        <v>75</v>
      </c>
      <c r="F30" s="23">
        <v>15</v>
      </c>
      <c r="G30" s="154">
        <f>I30*84*1.2</f>
        <v>13104</v>
      </c>
      <c r="H30" s="15">
        <f t="shared" si="1"/>
        <v>196560</v>
      </c>
      <c r="I30" s="124">
        <v>130</v>
      </c>
      <c r="J30" s="125"/>
    </row>
    <row r="31" spans="1:11" ht="51">
      <c r="A31" s="21">
        <v>30</v>
      </c>
      <c r="B31" s="21" t="s">
        <v>814</v>
      </c>
      <c r="C31" s="21" t="s">
        <v>913</v>
      </c>
      <c r="D31" s="57" t="s">
        <v>914</v>
      </c>
      <c r="E31" s="21" t="s">
        <v>75</v>
      </c>
      <c r="F31" s="23">
        <v>5</v>
      </c>
      <c r="G31" s="154">
        <f>I31*84*1.2</f>
        <v>14112</v>
      </c>
      <c r="H31" s="15">
        <f t="shared" si="1"/>
        <v>70560</v>
      </c>
      <c r="I31" s="124">
        <v>140</v>
      </c>
      <c r="J31" s="125"/>
    </row>
    <row r="32" spans="1:11" ht="38.25">
      <c r="A32" s="21">
        <v>31</v>
      </c>
      <c r="B32" s="21" t="s">
        <v>817</v>
      </c>
      <c r="C32" s="21" t="s">
        <v>915</v>
      </c>
      <c r="D32" s="57" t="s">
        <v>916</v>
      </c>
      <c r="E32" s="21" t="s">
        <v>75</v>
      </c>
      <c r="F32" s="23">
        <v>5</v>
      </c>
      <c r="G32" s="154">
        <f>I32*84*1.2</f>
        <v>14112</v>
      </c>
      <c r="H32" s="15">
        <f t="shared" si="1"/>
        <v>70560</v>
      </c>
      <c r="I32" s="124">
        <v>140</v>
      </c>
      <c r="J32" s="125"/>
    </row>
    <row r="33" spans="1:10" ht="38.25">
      <c r="A33" s="21">
        <v>32</v>
      </c>
      <c r="B33" s="21" t="s">
        <v>820</v>
      </c>
      <c r="C33" s="21" t="s">
        <v>917</v>
      </c>
      <c r="D33" s="57" t="s">
        <v>821</v>
      </c>
      <c r="E33" s="21" t="s">
        <v>75</v>
      </c>
      <c r="F33" s="23">
        <v>1</v>
      </c>
      <c r="G33" s="154">
        <v>0</v>
      </c>
      <c r="H33" s="15">
        <f>G33*F33</f>
        <v>0</v>
      </c>
      <c r="I33" s="124" t="s">
        <v>116</v>
      </c>
      <c r="J33" s="125"/>
    </row>
    <row r="34" spans="1:10" ht="51">
      <c r="A34" s="21">
        <v>33</v>
      </c>
      <c r="B34" s="21" t="s">
        <v>822</v>
      </c>
      <c r="C34" s="21" t="s">
        <v>918</v>
      </c>
      <c r="D34" s="57" t="s">
        <v>919</v>
      </c>
      <c r="E34" s="21" t="s">
        <v>75</v>
      </c>
      <c r="F34" s="23">
        <v>1</v>
      </c>
      <c r="G34" s="154">
        <f>I34*84*1.2</f>
        <v>987840</v>
      </c>
      <c r="H34" s="15">
        <f t="shared" si="1"/>
        <v>987840</v>
      </c>
      <c r="I34" s="124">
        <v>9800</v>
      </c>
      <c r="J34" s="125"/>
    </row>
    <row r="35" spans="1:10" ht="51">
      <c r="A35" s="21">
        <v>34</v>
      </c>
      <c r="B35" s="21" t="s">
        <v>825</v>
      </c>
      <c r="C35" s="21" t="s">
        <v>920</v>
      </c>
      <c r="D35" s="57" t="s">
        <v>921</v>
      </c>
      <c r="E35" s="21" t="s">
        <v>75</v>
      </c>
      <c r="F35" s="23">
        <v>2</v>
      </c>
      <c r="G35" s="154">
        <v>0</v>
      </c>
      <c r="H35" s="15">
        <f t="shared" si="1"/>
        <v>0</v>
      </c>
      <c r="I35" s="124" t="s">
        <v>116</v>
      </c>
      <c r="J35" s="125"/>
    </row>
    <row r="36" spans="1:10" ht="51">
      <c r="A36" s="21">
        <v>35</v>
      </c>
      <c r="B36" s="21" t="s">
        <v>307</v>
      </c>
      <c r="C36" s="21" t="s">
        <v>922</v>
      </c>
      <c r="D36" s="57" t="s">
        <v>308</v>
      </c>
      <c r="E36" s="21" t="s">
        <v>75</v>
      </c>
      <c r="F36" s="23">
        <v>40</v>
      </c>
      <c r="G36" s="154">
        <f>I36*84*1.2</f>
        <v>8568</v>
      </c>
      <c r="H36" s="15">
        <f t="shared" si="1"/>
        <v>342720</v>
      </c>
      <c r="I36" s="124">
        <v>85</v>
      </c>
      <c r="J36" s="125"/>
    </row>
    <row r="37" spans="1:10" ht="38.25">
      <c r="A37" s="21">
        <v>36</v>
      </c>
      <c r="B37" s="21" t="s">
        <v>830</v>
      </c>
      <c r="C37" s="21" t="s">
        <v>923</v>
      </c>
      <c r="D37" s="57" t="s">
        <v>924</v>
      </c>
      <c r="E37" s="21" t="s">
        <v>75</v>
      </c>
      <c r="F37" s="23">
        <v>2</v>
      </c>
      <c r="G37" s="154">
        <f>I37*84*1.2</f>
        <v>15120</v>
      </c>
      <c r="H37" s="15">
        <f t="shared" si="1"/>
        <v>30240</v>
      </c>
      <c r="I37" s="124">
        <v>150</v>
      </c>
      <c r="J37" s="125"/>
    </row>
    <row r="38" spans="1:10">
      <c r="A38" s="21">
        <v>37</v>
      </c>
      <c r="B38" s="397" t="s">
        <v>76</v>
      </c>
      <c r="C38" s="397"/>
      <c r="D38" s="397"/>
      <c r="E38" s="397"/>
      <c r="F38" s="397"/>
      <c r="G38" s="397"/>
      <c r="H38" s="162">
        <f>SUM(H2:H37)</f>
        <v>9376990.5599999987</v>
      </c>
    </row>
    <row r="39" spans="1:10">
      <c r="A39" s="21">
        <v>38</v>
      </c>
      <c r="B39" s="397" t="s">
        <v>650</v>
      </c>
      <c r="C39" s="397"/>
      <c r="D39" s="397"/>
      <c r="E39" s="397"/>
      <c r="F39" s="397"/>
      <c r="G39" s="397"/>
      <c r="H39" s="162">
        <f>H38*2%</f>
        <v>187539.81119999997</v>
      </c>
    </row>
    <row r="40" spans="1:10">
      <c r="A40" s="21">
        <v>39</v>
      </c>
      <c r="B40" s="397" t="s">
        <v>789</v>
      </c>
      <c r="C40" s="397"/>
      <c r="D40" s="397"/>
      <c r="E40" s="397"/>
      <c r="F40" s="397"/>
      <c r="G40" s="397"/>
      <c r="H40" s="162">
        <f>(H38+H39)*18%</f>
        <v>1721615.4668159997</v>
      </c>
    </row>
    <row r="41" spans="1:10">
      <c r="A41" s="21">
        <v>40</v>
      </c>
      <c r="B41" s="397" t="s">
        <v>742</v>
      </c>
      <c r="C41" s="397"/>
      <c r="D41" s="397"/>
      <c r="E41" s="397"/>
      <c r="F41" s="397"/>
      <c r="G41" s="397"/>
      <c r="H41" s="162">
        <f>SUM(H38:H40)</f>
        <v>11286145.838016</v>
      </c>
    </row>
    <row r="42" spans="1:10">
      <c r="A42" s="398"/>
      <c r="B42" s="399"/>
      <c r="C42" s="399"/>
      <c r="D42" s="399"/>
      <c r="E42" s="399"/>
      <c r="F42" s="399"/>
      <c r="G42" s="399"/>
      <c r="H42" s="400"/>
    </row>
    <row r="43" spans="1:10" ht="180.95" customHeight="1">
      <c r="A43" s="128" t="s">
        <v>80</v>
      </c>
      <c r="B43" s="360" t="s">
        <v>800</v>
      </c>
      <c r="C43" s="360"/>
      <c r="D43" s="360"/>
      <c r="E43" s="360"/>
      <c r="F43" s="360"/>
      <c r="G43" s="360"/>
      <c r="H43" s="361"/>
    </row>
  </sheetData>
  <mergeCells count="6">
    <mergeCell ref="B43:H43"/>
    <mergeCell ref="B38:G38"/>
    <mergeCell ref="B39:G39"/>
    <mergeCell ref="B40:G40"/>
    <mergeCell ref="B41:G41"/>
    <mergeCell ref="A42:H42"/>
  </mergeCells>
  <printOptions horizontalCentered="1"/>
  <pageMargins left="0.31496062992125984" right="0.31496062992125984" top="0.55118110236220474" bottom="0.55118110236220474" header="0.31496062992125984" footer="0.31496062992125984"/>
  <pageSetup orientation="landscape" horizontalDpi="4294967292" r:id="rId1"/>
  <headerFooter>
    <oddFooter>Page &amp;P of &amp;N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Sheet67"/>
  <dimension ref="A1:N80"/>
  <sheetViews>
    <sheetView topLeftCell="A25" zoomScaleNormal="100" workbookViewId="0">
      <selection activeCell="D35" sqref="D35"/>
    </sheetView>
  </sheetViews>
  <sheetFormatPr defaultColWidth="9.140625" defaultRowHeight="12.75"/>
  <cols>
    <col min="1" max="1" width="5.85546875" style="119" bestFit="1" customWidth="1"/>
    <col min="2" max="2" width="12.5703125" style="119" customWidth="1"/>
    <col min="3" max="3" width="17.42578125" style="119" bestFit="1" customWidth="1"/>
    <col min="4" max="4" width="61.85546875" style="119" customWidth="1"/>
    <col min="5" max="5" width="5" style="119" bestFit="1" customWidth="1"/>
    <col min="6" max="6" width="6.28515625" style="119" bestFit="1" customWidth="1"/>
    <col min="7" max="7" width="15.140625" style="119" bestFit="1" customWidth="1"/>
    <col min="8" max="8" width="15.42578125" style="119" customWidth="1"/>
    <col min="9" max="9" width="10.5703125" style="119" bestFit="1" customWidth="1"/>
    <col min="10" max="10" width="11.42578125" style="127" bestFit="1" customWidth="1"/>
    <col min="11" max="11" width="9.42578125" style="119" bestFit="1" customWidth="1"/>
    <col min="12" max="16384" width="9.140625" style="119"/>
  </cols>
  <sheetData>
    <row r="1" spans="1:14" ht="25.5">
      <c r="A1" s="152" t="s">
        <v>0</v>
      </c>
      <c r="B1" s="152" t="s">
        <v>1</v>
      </c>
      <c r="C1" s="117" t="s">
        <v>778</v>
      </c>
      <c r="D1" s="117" t="s">
        <v>67</v>
      </c>
      <c r="E1" s="117" t="s">
        <v>3</v>
      </c>
      <c r="F1" s="117" t="s">
        <v>68</v>
      </c>
      <c r="G1" s="152" t="s">
        <v>69</v>
      </c>
      <c r="H1" s="152" t="s">
        <v>527</v>
      </c>
      <c r="I1" s="119" t="s">
        <v>394</v>
      </c>
      <c r="J1" s="120" t="s">
        <v>145</v>
      </c>
      <c r="K1" s="119" t="s">
        <v>925</v>
      </c>
      <c r="L1" s="119" t="s">
        <v>532</v>
      </c>
      <c r="N1" s="119" t="s">
        <v>74</v>
      </c>
    </row>
    <row r="2" spans="1:14" ht="63.75">
      <c r="A2" s="21">
        <v>1</v>
      </c>
      <c r="B2" s="21" t="s">
        <v>926</v>
      </c>
      <c r="C2" s="21" t="s">
        <v>1073</v>
      </c>
      <c r="D2" s="57" t="s">
        <v>999</v>
      </c>
      <c r="E2" s="21" t="s">
        <v>1146</v>
      </c>
      <c r="F2" s="23">
        <v>280</v>
      </c>
      <c r="G2" s="154">
        <f>I2*88*1.35</f>
        <v>0</v>
      </c>
      <c r="H2" s="15">
        <f>G2*F2</f>
        <v>0</v>
      </c>
      <c r="I2" s="124"/>
      <c r="J2" s="125"/>
    </row>
    <row r="3" spans="1:14" ht="76.5">
      <c r="A3" s="21">
        <v>2</v>
      </c>
      <c r="B3" s="21" t="s">
        <v>927</v>
      </c>
      <c r="C3" s="21" t="s">
        <v>1074</v>
      </c>
      <c r="D3" s="57" t="s">
        <v>1000</v>
      </c>
      <c r="E3" s="21" t="s">
        <v>391</v>
      </c>
      <c r="F3" s="23">
        <v>3</v>
      </c>
      <c r="G3" s="154">
        <v>0</v>
      </c>
      <c r="H3" s="15">
        <f t="shared" ref="H3:H74" si="0">G3*F3</f>
        <v>0</v>
      </c>
      <c r="I3" s="124"/>
      <c r="J3" s="125"/>
    </row>
    <row r="4" spans="1:14" ht="38.25">
      <c r="A4" s="21">
        <v>3</v>
      </c>
      <c r="B4" s="21" t="s">
        <v>928</v>
      </c>
      <c r="C4" s="21" t="s">
        <v>1075</v>
      </c>
      <c r="D4" s="57" t="s">
        <v>1001</v>
      </c>
      <c r="E4" s="21" t="s">
        <v>1072</v>
      </c>
      <c r="F4" s="23">
        <v>1</v>
      </c>
      <c r="G4" s="154">
        <v>0</v>
      </c>
      <c r="H4" s="15">
        <f t="shared" si="0"/>
        <v>0</v>
      </c>
      <c r="I4" s="124"/>
      <c r="J4" s="125"/>
    </row>
    <row r="5" spans="1:14" ht="25.5">
      <c r="A5" s="21">
        <v>4</v>
      </c>
      <c r="B5" s="21" t="s">
        <v>929</v>
      </c>
      <c r="C5" s="21" t="s">
        <v>1076</v>
      </c>
      <c r="D5" s="57" t="s">
        <v>1002</v>
      </c>
      <c r="E5" s="21" t="s">
        <v>391</v>
      </c>
      <c r="F5" s="23">
        <v>1</v>
      </c>
      <c r="G5" s="154">
        <v>0</v>
      </c>
      <c r="H5" s="15">
        <f t="shared" si="0"/>
        <v>0</v>
      </c>
      <c r="I5" s="124"/>
      <c r="J5" s="125"/>
    </row>
    <row r="6" spans="1:14" ht="63.75">
      <c r="A6" s="21">
        <v>5</v>
      </c>
      <c r="B6" s="21" t="s">
        <v>930</v>
      </c>
      <c r="C6" s="21" t="s">
        <v>1077</v>
      </c>
      <c r="D6" s="57" t="s">
        <v>1003</v>
      </c>
      <c r="E6" s="21" t="s">
        <v>391</v>
      </c>
      <c r="F6" s="23">
        <v>80</v>
      </c>
      <c r="G6" s="154">
        <f t="shared" ref="G6:G39" si="1">I6*1.35*88</f>
        <v>0</v>
      </c>
      <c r="H6" s="15">
        <f t="shared" si="0"/>
        <v>0</v>
      </c>
      <c r="I6" s="124"/>
      <c r="J6" s="125"/>
    </row>
    <row r="7" spans="1:14" ht="51">
      <c r="A7" s="21">
        <v>6</v>
      </c>
      <c r="B7" s="21" t="s">
        <v>931</v>
      </c>
      <c r="C7" s="21" t="s">
        <v>1078</v>
      </c>
      <c r="D7" s="57" t="s">
        <v>1004</v>
      </c>
      <c r="E7" s="21" t="s">
        <v>1072</v>
      </c>
      <c r="F7" s="23">
        <v>2</v>
      </c>
      <c r="G7" s="154">
        <f t="shared" si="1"/>
        <v>0</v>
      </c>
      <c r="H7" s="15">
        <f t="shared" si="0"/>
        <v>0</v>
      </c>
      <c r="I7" s="124"/>
      <c r="J7" s="125"/>
    </row>
    <row r="8" spans="1:14" ht="51">
      <c r="A8" s="21">
        <v>7</v>
      </c>
      <c r="B8" s="21" t="s">
        <v>932</v>
      </c>
      <c r="C8" s="21" t="s">
        <v>1079</v>
      </c>
      <c r="D8" s="57" t="s">
        <v>1005</v>
      </c>
      <c r="E8" s="21" t="s">
        <v>1072</v>
      </c>
      <c r="F8" s="23">
        <v>2</v>
      </c>
      <c r="G8" s="154">
        <f t="shared" si="1"/>
        <v>0</v>
      </c>
      <c r="H8" s="15">
        <f t="shared" si="0"/>
        <v>0</v>
      </c>
      <c r="I8" s="124"/>
      <c r="J8" s="125"/>
    </row>
    <row r="9" spans="1:14" ht="63.75">
      <c r="A9" s="21">
        <v>8</v>
      </c>
      <c r="B9" s="21" t="s">
        <v>933</v>
      </c>
      <c r="C9" s="21" t="s">
        <v>1080</v>
      </c>
      <c r="D9" s="57" t="s">
        <v>1006</v>
      </c>
      <c r="E9" s="21" t="s">
        <v>1072</v>
      </c>
      <c r="F9" s="23">
        <v>2</v>
      </c>
      <c r="G9" s="154">
        <f t="shared" si="1"/>
        <v>0</v>
      </c>
      <c r="H9" s="15">
        <f t="shared" si="0"/>
        <v>0</v>
      </c>
      <c r="I9" s="124"/>
      <c r="J9" s="125"/>
    </row>
    <row r="10" spans="1:14" ht="25.5">
      <c r="A10" s="21">
        <v>9</v>
      </c>
      <c r="B10" s="21" t="s">
        <v>934</v>
      </c>
      <c r="C10" s="21" t="s">
        <v>1081</v>
      </c>
      <c r="D10" s="57" t="s">
        <v>1007</v>
      </c>
      <c r="E10" s="21" t="s">
        <v>1072</v>
      </c>
      <c r="F10" s="23">
        <v>6</v>
      </c>
      <c r="G10" s="154">
        <f t="shared" si="1"/>
        <v>0</v>
      </c>
      <c r="H10" s="15">
        <f t="shared" si="0"/>
        <v>0</v>
      </c>
      <c r="I10" s="124"/>
      <c r="J10" s="125"/>
    </row>
    <row r="11" spans="1:14" ht="51">
      <c r="A11" s="21">
        <v>10</v>
      </c>
      <c r="B11" s="21" t="s">
        <v>935</v>
      </c>
      <c r="C11" s="21" t="s">
        <v>1082</v>
      </c>
      <c r="D11" s="57" t="s">
        <v>1008</v>
      </c>
      <c r="E11" s="21" t="s">
        <v>391</v>
      </c>
      <c r="F11" s="23">
        <v>2</v>
      </c>
      <c r="G11" s="154">
        <f t="shared" si="1"/>
        <v>0</v>
      </c>
      <c r="H11" s="15">
        <f t="shared" si="0"/>
        <v>0</v>
      </c>
      <c r="I11" s="124"/>
      <c r="J11" s="125"/>
    </row>
    <row r="12" spans="1:14" ht="51">
      <c r="A12" s="21">
        <v>11</v>
      </c>
      <c r="B12" s="21" t="s">
        <v>936</v>
      </c>
      <c r="C12" s="21" t="s">
        <v>1083</v>
      </c>
      <c r="D12" s="57" t="s">
        <v>1009</v>
      </c>
      <c r="E12" s="21" t="s">
        <v>391</v>
      </c>
      <c r="F12" s="23">
        <v>2</v>
      </c>
      <c r="G12" s="154">
        <f t="shared" si="1"/>
        <v>0</v>
      </c>
      <c r="H12" s="15">
        <f t="shared" si="0"/>
        <v>0</v>
      </c>
      <c r="I12" s="124"/>
      <c r="J12" s="125"/>
    </row>
    <row r="13" spans="1:14" ht="38.25">
      <c r="A13" s="21">
        <v>12</v>
      </c>
      <c r="B13" s="21" t="s">
        <v>937</v>
      </c>
      <c r="C13" s="21" t="s">
        <v>1084</v>
      </c>
      <c r="D13" s="57" t="s">
        <v>1010</v>
      </c>
      <c r="E13" s="21" t="s">
        <v>1072</v>
      </c>
      <c r="F13" s="23">
        <v>2</v>
      </c>
      <c r="G13" s="154">
        <f t="shared" si="1"/>
        <v>0</v>
      </c>
      <c r="H13" s="15">
        <f t="shared" si="0"/>
        <v>0</v>
      </c>
      <c r="I13" s="124"/>
      <c r="J13" s="125"/>
    </row>
    <row r="14" spans="1:14" ht="38.25">
      <c r="A14" s="21">
        <v>13</v>
      </c>
      <c r="B14" s="21" t="s">
        <v>938</v>
      </c>
      <c r="C14" s="21" t="s">
        <v>1085</v>
      </c>
      <c r="D14" s="57" t="s">
        <v>1011</v>
      </c>
      <c r="E14" s="21" t="s">
        <v>391</v>
      </c>
      <c r="F14" s="23">
        <v>2</v>
      </c>
      <c r="G14" s="154">
        <f t="shared" si="1"/>
        <v>0</v>
      </c>
      <c r="H14" s="15">
        <f t="shared" si="0"/>
        <v>0</v>
      </c>
      <c r="I14" s="124"/>
      <c r="J14" s="125"/>
    </row>
    <row r="15" spans="1:14" ht="38.25">
      <c r="A15" s="21">
        <v>14</v>
      </c>
      <c r="B15" s="21" t="s">
        <v>939</v>
      </c>
      <c r="C15" s="21" t="s">
        <v>1086</v>
      </c>
      <c r="D15" s="57" t="s">
        <v>1012</v>
      </c>
      <c r="E15" s="21" t="s">
        <v>391</v>
      </c>
      <c r="F15" s="23">
        <v>4</v>
      </c>
      <c r="G15" s="154">
        <f t="shared" si="1"/>
        <v>0</v>
      </c>
      <c r="H15" s="15">
        <f t="shared" si="0"/>
        <v>0</v>
      </c>
      <c r="I15" s="124"/>
      <c r="J15" s="125"/>
    </row>
    <row r="16" spans="1:14" ht="38.25">
      <c r="A16" s="21">
        <v>15</v>
      </c>
      <c r="B16" s="21" t="s">
        <v>940</v>
      </c>
      <c r="C16" s="21" t="s">
        <v>1087</v>
      </c>
      <c r="D16" s="57" t="s">
        <v>1013</v>
      </c>
      <c r="E16" s="21" t="s">
        <v>391</v>
      </c>
      <c r="F16" s="23">
        <v>4</v>
      </c>
      <c r="G16" s="154">
        <f t="shared" si="1"/>
        <v>0</v>
      </c>
      <c r="H16" s="15">
        <f t="shared" si="0"/>
        <v>0</v>
      </c>
      <c r="I16" s="124"/>
      <c r="J16" s="125"/>
    </row>
    <row r="17" spans="1:10" ht="38.25">
      <c r="A17" s="21">
        <v>16</v>
      </c>
      <c r="B17" s="21" t="s">
        <v>941</v>
      </c>
      <c r="C17" s="21" t="s">
        <v>1088</v>
      </c>
      <c r="D17" s="57" t="s">
        <v>1014</v>
      </c>
      <c r="E17" s="21" t="s">
        <v>391</v>
      </c>
      <c r="F17" s="23">
        <v>4</v>
      </c>
      <c r="G17" s="154">
        <f t="shared" si="1"/>
        <v>0</v>
      </c>
      <c r="H17" s="15">
        <f t="shared" si="0"/>
        <v>0</v>
      </c>
      <c r="I17" s="124"/>
      <c r="J17" s="125"/>
    </row>
    <row r="18" spans="1:10" ht="38.25">
      <c r="A18" s="21">
        <v>17</v>
      </c>
      <c r="B18" s="21" t="s">
        <v>942</v>
      </c>
      <c r="C18" s="21" t="s">
        <v>1089</v>
      </c>
      <c r="D18" s="57" t="s">
        <v>1015</v>
      </c>
      <c r="E18" s="21" t="s">
        <v>391</v>
      </c>
      <c r="F18" s="23">
        <v>4</v>
      </c>
      <c r="G18" s="154">
        <f t="shared" si="1"/>
        <v>0</v>
      </c>
      <c r="H18" s="15">
        <f t="shared" si="0"/>
        <v>0</v>
      </c>
      <c r="I18" s="124"/>
      <c r="J18" s="125"/>
    </row>
    <row r="19" spans="1:10" ht="51">
      <c r="A19" s="21">
        <v>18</v>
      </c>
      <c r="B19" s="21" t="s">
        <v>943</v>
      </c>
      <c r="C19" s="21" t="s">
        <v>1090</v>
      </c>
      <c r="D19" s="57" t="s">
        <v>1016</v>
      </c>
      <c r="E19" s="21" t="s">
        <v>391</v>
      </c>
      <c r="F19" s="23">
        <v>5</v>
      </c>
      <c r="G19" s="154">
        <f t="shared" si="1"/>
        <v>0</v>
      </c>
      <c r="H19" s="15">
        <f t="shared" si="0"/>
        <v>0</v>
      </c>
      <c r="I19" s="124"/>
      <c r="J19" s="125"/>
    </row>
    <row r="20" spans="1:10" ht="38.25">
      <c r="A20" s="21">
        <v>19</v>
      </c>
      <c r="B20" s="21" t="s">
        <v>944</v>
      </c>
      <c r="C20" s="21" t="s">
        <v>1091</v>
      </c>
      <c r="D20" s="57" t="s">
        <v>1017</v>
      </c>
      <c r="E20" s="21" t="s">
        <v>391</v>
      </c>
      <c r="F20" s="23">
        <v>8</v>
      </c>
      <c r="G20" s="154">
        <f t="shared" si="1"/>
        <v>0</v>
      </c>
      <c r="H20" s="15">
        <f t="shared" si="0"/>
        <v>0</v>
      </c>
      <c r="I20" s="124"/>
      <c r="J20" s="125"/>
    </row>
    <row r="21" spans="1:10" ht="38.25">
      <c r="A21" s="21">
        <v>20</v>
      </c>
      <c r="B21" s="21" t="s">
        <v>945</v>
      </c>
      <c r="C21" s="21" t="s">
        <v>1092</v>
      </c>
      <c r="D21" s="57" t="s">
        <v>1018</v>
      </c>
      <c r="E21" s="21" t="s">
        <v>391</v>
      </c>
      <c r="F21" s="23">
        <v>3</v>
      </c>
      <c r="G21" s="154">
        <f t="shared" si="1"/>
        <v>0</v>
      </c>
      <c r="H21" s="15">
        <f t="shared" si="0"/>
        <v>0</v>
      </c>
      <c r="I21" s="124"/>
      <c r="J21" s="125"/>
    </row>
    <row r="22" spans="1:10" ht="38.25">
      <c r="A22" s="21">
        <v>21</v>
      </c>
      <c r="B22" s="21" t="s">
        <v>946</v>
      </c>
      <c r="C22" s="21" t="s">
        <v>1093</v>
      </c>
      <c r="D22" s="57" t="s">
        <v>1019</v>
      </c>
      <c r="E22" s="21" t="s">
        <v>391</v>
      </c>
      <c r="F22" s="23">
        <v>10</v>
      </c>
      <c r="G22" s="154">
        <f t="shared" si="1"/>
        <v>0</v>
      </c>
      <c r="H22" s="15">
        <f t="shared" si="0"/>
        <v>0</v>
      </c>
      <c r="I22" s="124"/>
      <c r="J22" s="125"/>
    </row>
    <row r="23" spans="1:10" ht="38.25">
      <c r="A23" s="21">
        <v>22</v>
      </c>
      <c r="B23" s="21" t="s">
        <v>947</v>
      </c>
      <c r="C23" s="21" t="s">
        <v>1094</v>
      </c>
      <c r="D23" s="57" t="s">
        <v>1020</v>
      </c>
      <c r="E23" s="21" t="s">
        <v>382</v>
      </c>
      <c r="F23" s="23">
        <v>2</v>
      </c>
      <c r="G23" s="154">
        <f t="shared" si="1"/>
        <v>0</v>
      </c>
      <c r="H23" s="15">
        <f t="shared" si="0"/>
        <v>0</v>
      </c>
      <c r="I23" s="124"/>
      <c r="J23" s="125"/>
    </row>
    <row r="24" spans="1:10" ht="51">
      <c r="A24" s="21">
        <v>23</v>
      </c>
      <c r="B24" s="21" t="s">
        <v>948</v>
      </c>
      <c r="C24" s="21" t="s">
        <v>1095</v>
      </c>
      <c r="D24" s="57" t="s">
        <v>1021</v>
      </c>
      <c r="E24" s="21" t="s">
        <v>382</v>
      </c>
      <c r="F24" s="23">
        <v>2</v>
      </c>
      <c r="G24" s="154">
        <f t="shared" si="1"/>
        <v>0</v>
      </c>
      <c r="H24" s="15">
        <f t="shared" si="0"/>
        <v>0</v>
      </c>
      <c r="I24" s="124"/>
      <c r="J24" s="125"/>
    </row>
    <row r="25" spans="1:10" ht="51">
      <c r="A25" s="21">
        <v>24</v>
      </c>
      <c r="B25" s="21" t="s">
        <v>949</v>
      </c>
      <c r="C25" s="21" t="s">
        <v>1096</v>
      </c>
      <c r="D25" s="57" t="s">
        <v>1022</v>
      </c>
      <c r="E25" s="21" t="s">
        <v>391</v>
      </c>
      <c r="F25" s="23">
        <v>2</v>
      </c>
      <c r="G25" s="154">
        <f t="shared" si="1"/>
        <v>0</v>
      </c>
      <c r="H25" s="15">
        <f t="shared" si="0"/>
        <v>0</v>
      </c>
      <c r="I25" s="124"/>
      <c r="J25" s="125"/>
    </row>
    <row r="26" spans="1:10" ht="38.25">
      <c r="A26" s="21">
        <v>25</v>
      </c>
      <c r="B26" s="21" t="s">
        <v>950</v>
      </c>
      <c r="C26" s="21" t="s">
        <v>1097</v>
      </c>
      <c r="D26" s="57" t="s">
        <v>1023</v>
      </c>
      <c r="E26" s="21" t="s">
        <v>391</v>
      </c>
      <c r="F26" s="23">
        <v>4</v>
      </c>
      <c r="G26" s="154">
        <f t="shared" si="1"/>
        <v>0</v>
      </c>
      <c r="H26" s="15">
        <f t="shared" si="0"/>
        <v>0</v>
      </c>
      <c r="I26" s="124"/>
      <c r="J26" s="125"/>
    </row>
    <row r="27" spans="1:10" ht="51">
      <c r="A27" s="21">
        <v>26</v>
      </c>
      <c r="B27" s="21" t="s">
        <v>951</v>
      </c>
      <c r="C27" s="21" t="s">
        <v>1098</v>
      </c>
      <c r="D27" s="57" t="s">
        <v>1024</v>
      </c>
      <c r="E27" s="21" t="s">
        <v>391</v>
      </c>
      <c r="F27" s="23">
        <v>4</v>
      </c>
      <c r="G27" s="154">
        <f t="shared" si="1"/>
        <v>0</v>
      </c>
      <c r="H27" s="15">
        <f t="shared" si="0"/>
        <v>0</v>
      </c>
      <c r="I27" s="124"/>
      <c r="J27" s="125"/>
    </row>
    <row r="28" spans="1:10" ht="38.25">
      <c r="A28" s="21">
        <v>27</v>
      </c>
      <c r="B28" s="21" t="s">
        <v>952</v>
      </c>
      <c r="C28" s="21" t="s">
        <v>1099</v>
      </c>
      <c r="D28" s="57" t="s">
        <v>1025</v>
      </c>
      <c r="E28" s="21" t="s">
        <v>391</v>
      </c>
      <c r="F28" s="23">
        <v>6</v>
      </c>
      <c r="G28" s="154">
        <f t="shared" si="1"/>
        <v>0</v>
      </c>
      <c r="H28" s="15">
        <f t="shared" si="0"/>
        <v>0</v>
      </c>
      <c r="I28" s="124"/>
      <c r="J28" s="125"/>
    </row>
    <row r="29" spans="1:10" ht="51">
      <c r="A29" s="21">
        <v>28</v>
      </c>
      <c r="B29" s="21" t="s">
        <v>953</v>
      </c>
      <c r="C29" s="21" t="s">
        <v>1100</v>
      </c>
      <c r="D29" s="57" t="s">
        <v>1026</v>
      </c>
      <c r="E29" s="21" t="s">
        <v>391</v>
      </c>
      <c r="F29" s="23">
        <v>2</v>
      </c>
      <c r="G29" s="154">
        <f t="shared" si="1"/>
        <v>0</v>
      </c>
      <c r="H29" s="15">
        <f t="shared" si="0"/>
        <v>0</v>
      </c>
      <c r="I29" s="124"/>
      <c r="J29" s="125"/>
    </row>
    <row r="30" spans="1:10" ht="38.25">
      <c r="A30" s="21">
        <v>29</v>
      </c>
      <c r="B30" s="21" t="s">
        <v>954</v>
      </c>
      <c r="C30" s="21" t="s">
        <v>1101</v>
      </c>
      <c r="D30" s="57" t="s">
        <v>1027</v>
      </c>
      <c r="E30" s="21" t="s">
        <v>391</v>
      </c>
      <c r="F30" s="23">
        <v>2</v>
      </c>
      <c r="G30" s="154">
        <f t="shared" si="1"/>
        <v>0</v>
      </c>
      <c r="H30" s="15">
        <f t="shared" si="0"/>
        <v>0</v>
      </c>
      <c r="I30" s="124"/>
      <c r="J30" s="125"/>
    </row>
    <row r="31" spans="1:10" ht="38.25">
      <c r="A31" s="21">
        <v>30</v>
      </c>
      <c r="B31" s="21" t="s">
        <v>955</v>
      </c>
      <c r="C31" s="21" t="s">
        <v>1102</v>
      </c>
      <c r="D31" s="57" t="s">
        <v>1028</v>
      </c>
      <c r="E31" s="21" t="s">
        <v>391</v>
      </c>
      <c r="F31" s="23">
        <v>1</v>
      </c>
      <c r="G31" s="154">
        <f t="shared" si="1"/>
        <v>0</v>
      </c>
      <c r="H31" s="15">
        <f t="shared" si="0"/>
        <v>0</v>
      </c>
      <c r="I31" s="124"/>
      <c r="J31" s="125"/>
    </row>
    <row r="32" spans="1:10" ht="38.25">
      <c r="A32" s="21">
        <v>31</v>
      </c>
      <c r="B32" s="21" t="s">
        <v>956</v>
      </c>
      <c r="C32" s="21" t="s">
        <v>1103</v>
      </c>
      <c r="D32" s="57" t="s">
        <v>1029</v>
      </c>
      <c r="E32" s="21" t="s">
        <v>391</v>
      </c>
      <c r="F32" s="23">
        <v>2</v>
      </c>
      <c r="G32" s="154">
        <f t="shared" si="1"/>
        <v>0</v>
      </c>
      <c r="H32" s="15">
        <f t="shared" si="0"/>
        <v>0</v>
      </c>
      <c r="I32" s="124"/>
      <c r="J32" s="125"/>
    </row>
    <row r="33" spans="1:10" ht="51">
      <c r="A33" s="21">
        <v>32</v>
      </c>
      <c r="B33" s="21" t="s">
        <v>957</v>
      </c>
      <c r="C33" s="21" t="s">
        <v>1104</v>
      </c>
      <c r="D33" s="57" t="s">
        <v>1030</v>
      </c>
      <c r="E33" s="21" t="s">
        <v>391</v>
      </c>
      <c r="F33" s="23">
        <v>1</v>
      </c>
      <c r="G33" s="154">
        <f t="shared" si="1"/>
        <v>0</v>
      </c>
      <c r="H33" s="15">
        <f t="shared" si="0"/>
        <v>0</v>
      </c>
      <c r="I33" s="124"/>
      <c r="J33" s="125"/>
    </row>
    <row r="34" spans="1:10" ht="25.5">
      <c r="A34" s="21">
        <v>33</v>
      </c>
      <c r="B34" s="21" t="s">
        <v>958</v>
      </c>
      <c r="C34" s="21" t="s">
        <v>1105</v>
      </c>
      <c r="D34" s="57" t="s">
        <v>1031</v>
      </c>
      <c r="E34" s="21" t="s">
        <v>391</v>
      </c>
      <c r="F34" s="23">
        <v>6</v>
      </c>
      <c r="G34" s="154">
        <f t="shared" si="1"/>
        <v>0</v>
      </c>
      <c r="H34" s="15">
        <f t="shared" si="0"/>
        <v>0</v>
      </c>
      <c r="I34" s="124"/>
      <c r="J34" s="125"/>
    </row>
    <row r="35" spans="1:10" ht="38.25">
      <c r="A35" s="21">
        <v>34</v>
      </c>
      <c r="B35" s="21" t="s">
        <v>959</v>
      </c>
      <c r="C35" s="21" t="s">
        <v>1106</v>
      </c>
      <c r="D35" s="57" t="s">
        <v>1032</v>
      </c>
      <c r="E35" s="21" t="s">
        <v>391</v>
      </c>
      <c r="F35" s="23">
        <v>10</v>
      </c>
      <c r="G35" s="154">
        <f t="shared" si="1"/>
        <v>0</v>
      </c>
      <c r="H35" s="15">
        <f t="shared" si="0"/>
        <v>0</v>
      </c>
      <c r="I35" s="124"/>
      <c r="J35" s="125"/>
    </row>
    <row r="36" spans="1:10" ht="38.25">
      <c r="A36" s="21">
        <v>35</v>
      </c>
      <c r="B36" s="21" t="s">
        <v>960</v>
      </c>
      <c r="C36" s="21" t="s">
        <v>1107</v>
      </c>
      <c r="D36" s="57" t="s">
        <v>1033</v>
      </c>
      <c r="E36" s="21" t="s">
        <v>391</v>
      </c>
      <c r="F36" s="23">
        <v>2</v>
      </c>
      <c r="G36" s="154">
        <f t="shared" si="1"/>
        <v>0</v>
      </c>
      <c r="H36" s="15">
        <f t="shared" si="0"/>
        <v>0</v>
      </c>
      <c r="I36" s="124"/>
      <c r="J36" s="125"/>
    </row>
    <row r="37" spans="1:10" ht="25.5">
      <c r="A37" s="21">
        <v>36</v>
      </c>
      <c r="B37" s="21" t="s">
        <v>961</v>
      </c>
      <c r="C37" s="21" t="s">
        <v>1108</v>
      </c>
      <c r="D37" s="57" t="s">
        <v>1034</v>
      </c>
      <c r="E37" s="21" t="s">
        <v>391</v>
      </c>
      <c r="F37" s="23">
        <v>1</v>
      </c>
      <c r="G37" s="154">
        <f t="shared" si="1"/>
        <v>0</v>
      </c>
      <c r="H37" s="15">
        <f t="shared" si="0"/>
        <v>0</v>
      </c>
      <c r="I37" s="124"/>
      <c r="J37" s="125"/>
    </row>
    <row r="38" spans="1:10" ht="38.25">
      <c r="A38" s="21">
        <v>37</v>
      </c>
      <c r="B38" s="21" t="s">
        <v>962</v>
      </c>
      <c r="C38" s="21" t="s">
        <v>1109</v>
      </c>
      <c r="D38" s="57" t="s">
        <v>1035</v>
      </c>
      <c r="E38" s="21" t="s">
        <v>391</v>
      </c>
      <c r="F38" s="23">
        <v>1</v>
      </c>
      <c r="G38" s="154">
        <f t="shared" si="1"/>
        <v>0</v>
      </c>
      <c r="H38" s="15">
        <f t="shared" si="0"/>
        <v>0</v>
      </c>
      <c r="I38" s="124"/>
      <c r="J38" s="125"/>
    </row>
    <row r="39" spans="1:10" ht="38.25">
      <c r="A39" s="21">
        <v>38</v>
      </c>
      <c r="B39" s="21" t="s">
        <v>963</v>
      </c>
      <c r="C39" s="21" t="s">
        <v>1110</v>
      </c>
      <c r="D39" s="57" t="s">
        <v>1036</v>
      </c>
      <c r="E39" s="21" t="s">
        <v>391</v>
      </c>
      <c r="F39" s="23">
        <v>10</v>
      </c>
      <c r="G39" s="154">
        <f t="shared" si="1"/>
        <v>0</v>
      </c>
      <c r="H39" s="15">
        <f t="shared" si="0"/>
        <v>0</v>
      </c>
      <c r="I39" s="124"/>
      <c r="J39" s="125"/>
    </row>
    <row r="40" spans="1:10" ht="38.25">
      <c r="A40" s="21">
        <v>39</v>
      </c>
      <c r="B40" s="21" t="s">
        <v>964</v>
      </c>
      <c r="C40" s="21" t="s">
        <v>1111</v>
      </c>
      <c r="D40" s="57" t="s">
        <v>1037</v>
      </c>
      <c r="E40" s="21" t="s">
        <v>391</v>
      </c>
      <c r="F40" s="23">
        <v>3</v>
      </c>
      <c r="G40" s="154">
        <f t="shared" ref="G40:G71" si="2">I40*1.35*88</f>
        <v>0</v>
      </c>
      <c r="H40" s="15">
        <f t="shared" ref="H40:H71" si="3">G40*F40</f>
        <v>0</v>
      </c>
      <c r="I40" s="124"/>
      <c r="J40" s="125"/>
    </row>
    <row r="41" spans="1:10" ht="38.25">
      <c r="A41" s="21">
        <v>40</v>
      </c>
      <c r="B41" s="21" t="s">
        <v>965</v>
      </c>
      <c r="C41" s="21" t="s">
        <v>1112</v>
      </c>
      <c r="D41" s="57" t="s">
        <v>1038</v>
      </c>
      <c r="E41" s="21" t="s">
        <v>391</v>
      </c>
      <c r="F41" s="23">
        <v>3</v>
      </c>
      <c r="G41" s="154">
        <f t="shared" si="2"/>
        <v>0</v>
      </c>
      <c r="H41" s="15">
        <f t="shared" si="3"/>
        <v>0</v>
      </c>
      <c r="I41" s="124"/>
      <c r="J41" s="125"/>
    </row>
    <row r="42" spans="1:10" ht="25.5">
      <c r="A42" s="21">
        <v>41</v>
      </c>
      <c r="B42" s="21" t="s">
        <v>966</v>
      </c>
      <c r="C42" s="21" t="s">
        <v>1113</v>
      </c>
      <c r="D42" s="57" t="s">
        <v>1039</v>
      </c>
      <c r="E42" s="21" t="s">
        <v>391</v>
      </c>
      <c r="F42" s="23">
        <v>3</v>
      </c>
      <c r="G42" s="154">
        <f t="shared" si="2"/>
        <v>0</v>
      </c>
      <c r="H42" s="15">
        <f t="shared" si="3"/>
        <v>0</v>
      </c>
      <c r="I42" s="124"/>
      <c r="J42" s="125"/>
    </row>
    <row r="43" spans="1:10" ht="51">
      <c r="A43" s="21">
        <v>42</v>
      </c>
      <c r="B43" s="21" t="s">
        <v>967</v>
      </c>
      <c r="C43" s="21" t="s">
        <v>1114</v>
      </c>
      <c r="D43" s="57" t="s">
        <v>1040</v>
      </c>
      <c r="E43" s="21" t="s">
        <v>391</v>
      </c>
      <c r="F43" s="23">
        <v>6</v>
      </c>
      <c r="G43" s="154">
        <f t="shared" si="2"/>
        <v>0</v>
      </c>
      <c r="H43" s="15">
        <f t="shared" si="3"/>
        <v>0</v>
      </c>
      <c r="I43" s="124"/>
      <c r="J43" s="125"/>
    </row>
    <row r="44" spans="1:10" ht="25.5">
      <c r="A44" s="21">
        <v>43</v>
      </c>
      <c r="B44" s="21" t="s">
        <v>968</v>
      </c>
      <c r="C44" s="21" t="s">
        <v>1115</v>
      </c>
      <c r="D44" s="57" t="s">
        <v>1041</v>
      </c>
      <c r="E44" s="21" t="s">
        <v>391</v>
      </c>
      <c r="F44" s="23">
        <v>1</v>
      </c>
      <c r="G44" s="154">
        <f t="shared" si="2"/>
        <v>0</v>
      </c>
      <c r="H44" s="15">
        <f t="shared" si="3"/>
        <v>0</v>
      </c>
      <c r="I44" s="124"/>
      <c r="J44" s="125"/>
    </row>
    <row r="45" spans="1:10" ht="38.25">
      <c r="A45" s="21">
        <v>44</v>
      </c>
      <c r="B45" s="21" t="s">
        <v>969</v>
      </c>
      <c r="C45" s="21" t="s">
        <v>1116</v>
      </c>
      <c r="D45" s="57" t="s">
        <v>1042</v>
      </c>
      <c r="E45" s="21" t="s">
        <v>391</v>
      </c>
      <c r="F45" s="23">
        <v>3</v>
      </c>
      <c r="G45" s="154">
        <f t="shared" si="2"/>
        <v>0</v>
      </c>
      <c r="H45" s="15">
        <f t="shared" si="3"/>
        <v>0</v>
      </c>
      <c r="I45" s="124"/>
      <c r="J45" s="125"/>
    </row>
    <row r="46" spans="1:10" ht="38.25">
      <c r="A46" s="21">
        <v>45</v>
      </c>
      <c r="B46" s="21" t="s">
        <v>970</v>
      </c>
      <c r="C46" s="21" t="s">
        <v>1117</v>
      </c>
      <c r="D46" s="57" t="s">
        <v>1043</v>
      </c>
      <c r="E46" s="21" t="s">
        <v>391</v>
      </c>
      <c r="F46" s="23">
        <v>4</v>
      </c>
      <c r="G46" s="154">
        <f t="shared" si="2"/>
        <v>0</v>
      </c>
      <c r="H46" s="15">
        <f t="shared" si="3"/>
        <v>0</v>
      </c>
      <c r="I46" s="124"/>
      <c r="J46" s="125"/>
    </row>
    <row r="47" spans="1:10" ht="38.25">
      <c r="A47" s="21">
        <v>46</v>
      </c>
      <c r="B47" s="21" t="s">
        <v>971</v>
      </c>
      <c r="C47" s="21" t="s">
        <v>1118</v>
      </c>
      <c r="D47" s="57" t="s">
        <v>1044</v>
      </c>
      <c r="E47" s="21" t="s">
        <v>391</v>
      </c>
      <c r="F47" s="23">
        <v>4</v>
      </c>
      <c r="G47" s="154">
        <f t="shared" si="2"/>
        <v>0</v>
      </c>
      <c r="H47" s="15">
        <f t="shared" si="3"/>
        <v>0</v>
      </c>
      <c r="I47" s="124"/>
      <c r="J47" s="125"/>
    </row>
    <row r="48" spans="1:10" ht="38.25">
      <c r="A48" s="21">
        <v>47</v>
      </c>
      <c r="B48" s="21" t="s">
        <v>972</v>
      </c>
      <c r="C48" s="21" t="s">
        <v>1119</v>
      </c>
      <c r="D48" s="57" t="s">
        <v>1045</v>
      </c>
      <c r="E48" s="21" t="s">
        <v>391</v>
      </c>
      <c r="F48" s="23">
        <v>4</v>
      </c>
      <c r="G48" s="154">
        <f t="shared" si="2"/>
        <v>0</v>
      </c>
      <c r="H48" s="15">
        <f t="shared" si="3"/>
        <v>0</v>
      </c>
      <c r="I48" s="124"/>
      <c r="J48" s="125"/>
    </row>
    <row r="49" spans="1:10" ht="38.25">
      <c r="A49" s="21">
        <v>48</v>
      </c>
      <c r="B49" s="21" t="s">
        <v>973</v>
      </c>
      <c r="C49" s="21" t="s">
        <v>1120</v>
      </c>
      <c r="D49" s="57" t="s">
        <v>1046</v>
      </c>
      <c r="E49" s="21" t="s">
        <v>391</v>
      </c>
      <c r="F49" s="23">
        <v>4</v>
      </c>
      <c r="G49" s="154">
        <f t="shared" si="2"/>
        <v>0</v>
      </c>
      <c r="H49" s="15">
        <f t="shared" si="3"/>
        <v>0</v>
      </c>
      <c r="I49" s="124"/>
      <c r="J49" s="125"/>
    </row>
    <row r="50" spans="1:10" ht="38.25">
      <c r="A50" s="21">
        <v>49</v>
      </c>
      <c r="B50" s="21" t="s">
        <v>974</v>
      </c>
      <c r="C50" s="21" t="s">
        <v>1121</v>
      </c>
      <c r="D50" s="57" t="s">
        <v>1047</v>
      </c>
      <c r="E50" s="21" t="s">
        <v>391</v>
      </c>
      <c r="F50" s="23">
        <v>2</v>
      </c>
      <c r="G50" s="154">
        <f t="shared" si="2"/>
        <v>0</v>
      </c>
      <c r="H50" s="15">
        <f t="shared" si="3"/>
        <v>0</v>
      </c>
      <c r="I50" s="124"/>
      <c r="J50" s="125"/>
    </row>
    <row r="51" spans="1:10" ht="38.25">
      <c r="A51" s="21">
        <v>50</v>
      </c>
      <c r="B51" s="21" t="s">
        <v>975</v>
      </c>
      <c r="C51" s="21" t="s">
        <v>1122</v>
      </c>
      <c r="D51" s="57" t="s">
        <v>1048</v>
      </c>
      <c r="E51" s="21" t="s">
        <v>391</v>
      </c>
      <c r="F51" s="23">
        <v>4</v>
      </c>
      <c r="G51" s="154">
        <f t="shared" si="2"/>
        <v>0</v>
      </c>
      <c r="H51" s="15">
        <f t="shared" si="3"/>
        <v>0</v>
      </c>
      <c r="I51" s="124"/>
      <c r="J51" s="125"/>
    </row>
    <row r="52" spans="1:10" ht="38.25">
      <c r="A52" s="21">
        <v>51</v>
      </c>
      <c r="B52" s="21" t="s">
        <v>976</v>
      </c>
      <c r="C52" s="21" t="s">
        <v>1123</v>
      </c>
      <c r="D52" s="57" t="s">
        <v>1049</v>
      </c>
      <c r="E52" s="21" t="s">
        <v>391</v>
      </c>
      <c r="F52" s="23">
        <v>2</v>
      </c>
      <c r="G52" s="154">
        <f t="shared" si="2"/>
        <v>0</v>
      </c>
      <c r="H52" s="15">
        <f t="shared" si="3"/>
        <v>0</v>
      </c>
      <c r="I52" s="124"/>
      <c r="J52" s="125"/>
    </row>
    <row r="53" spans="1:10" ht="38.25">
      <c r="A53" s="21">
        <v>52</v>
      </c>
      <c r="B53" s="21" t="s">
        <v>977</v>
      </c>
      <c r="C53" s="21" t="s">
        <v>1124</v>
      </c>
      <c r="D53" s="57" t="s">
        <v>1050</v>
      </c>
      <c r="E53" s="21" t="s">
        <v>391</v>
      </c>
      <c r="F53" s="23">
        <v>6</v>
      </c>
      <c r="G53" s="154">
        <f t="shared" si="2"/>
        <v>0</v>
      </c>
      <c r="H53" s="15">
        <f t="shared" si="3"/>
        <v>0</v>
      </c>
      <c r="I53" s="124"/>
      <c r="J53" s="125"/>
    </row>
    <row r="54" spans="1:10" ht="38.25">
      <c r="A54" s="21">
        <v>53</v>
      </c>
      <c r="B54" s="21" t="s">
        <v>978</v>
      </c>
      <c r="C54" s="21" t="s">
        <v>1125</v>
      </c>
      <c r="D54" s="57" t="s">
        <v>1051</v>
      </c>
      <c r="E54" s="21" t="s">
        <v>391</v>
      </c>
      <c r="F54" s="23">
        <v>10</v>
      </c>
      <c r="G54" s="154">
        <f t="shared" si="2"/>
        <v>0</v>
      </c>
      <c r="H54" s="15">
        <f t="shared" si="3"/>
        <v>0</v>
      </c>
      <c r="I54" s="124"/>
      <c r="J54" s="125"/>
    </row>
    <row r="55" spans="1:10" ht="51">
      <c r="A55" s="21">
        <v>54</v>
      </c>
      <c r="B55" s="21" t="s">
        <v>979</v>
      </c>
      <c r="C55" s="21" t="s">
        <v>1126</v>
      </c>
      <c r="D55" s="57" t="s">
        <v>1052</v>
      </c>
      <c r="E55" s="21" t="s">
        <v>391</v>
      </c>
      <c r="F55" s="23">
        <v>2</v>
      </c>
      <c r="G55" s="154">
        <f t="shared" si="2"/>
        <v>0</v>
      </c>
      <c r="H55" s="15">
        <f t="shared" si="3"/>
        <v>0</v>
      </c>
      <c r="I55" s="124"/>
      <c r="J55" s="125"/>
    </row>
    <row r="56" spans="1:10" ht="38.25">
      <c r="A56" s="21">
        <v>55</v>
      </c>
      <c r="B56" s="21" t="s">
        <v>980</v>
      </c>
      <c r="C56" s="21" t="s">
        <v>1127</v>
      </c>
      <c r="D56" s="57" t="s">
        <v>1053</v>
      </c>
      <c r="E56" s="21" t="s">
        <v>391</v>
      </c>
      <c r="F56" s="23">
        <v>8</v>
      </c>
      <c r="G56" s="154">
        <f t="shared" si="2"/>
        <v>0</v>
      </c>
      <c r="H56" s="15">
        <f t="shared" si="3"/>
        <v>0</v>
      </c>
      <c r="I56" s="124"/>
      <c r="J56" s="125"/>
    </row>
    <row r="57" spans="1:10" ht="38.25">
      <c r="A57" s="21">
        <v>56</v>
      </c>
      <c r="B57" s="21" t="s">
        <v>981</v>
      </c>
      <c r="C57" s="21" t="s">
        <v>1128</v>
      </c>
      <c r="D57" s="57" t="s">
        <v>1054</v>
      </c>
      <c r="E57" s="21" t="s">
        <v>391</v>
      </c>
      <c r="F57" s="23">
        <v>2</v>
      </c>
      <c r="G57" s="154">
        <f t="shared" si="2"/>
        <v>0</v>
      </c>
      <c r="H57" s="15">
        <f t="shared" si="3"/>
        <v>0</v>
      </c>
      <c r="I57" s="124"/>
      <c r="J57" s="125"/>
    </row>
    <row r="58" spans="1:10" ht="25.5">
      <c r="A58" s="21">
        <v>57</v>
      </c>
      <c r="B58" s="21" t="s">
        <v>982</v>
      </c>
      <c r="C58" s="21" t="s">
        <v>1129</v>
      </c>
      <c r="D58" s="57" t="s">
        <v>1055</v>
      </c>
      <c r="E58" s="21" t="s">
        <v>391</v>
      </c>
      <c r="F58" s="23">
        <v>2</v>
      </c>
      <c r="G58" s="154">
        <f t="shared" si="2"/>
        <v>0</v>
      </c>
      <c r="H58" s="15">
        <f t="shared" si="3"/>
        <v>0</v>
      </c>
      <c r="I58" s="124"/>
      <c r="J58" s="125"/>
    </row>
    <row r="59" spans="1:10" ht="25.5">
      <c r="A59" s="21">
        <v>58</v>
      </c>
      <c r="B59" s="21" t="s">
        <v>983</v>
      </c>
      <c r="C59" s="21" t="s">
        <v>1130</v>
      </c>
      <c r="D59" s="57" t="s">
        <v>1056</v>
      </c>
      <c r="E59" s="21" t="s">
        <v>391</v>
      </c>
      <c r="F59" s="23">
        <v>2</v>
      </c>
      <c r="G59" s="154">
        <f t="shared" si="2"/>
        <v>0</v>
      </c>
      <c r="H59" s="15">
        <f t="shared" si="3"/>
        <v>0</v>
      </c>
      <c r="I59" s="124"/>
      <c r="J59" s="125"/>
    </row>
    <row r="60" spans="1:10" ht="38.25">
      <c r="A60" s="21">
        <v>59</v>
      </c>
      <c r="B60" s="21" t="s">
        <v>984</v>
      </c>
      <c r="C60" s="21" t="s">
        <v>1131</v>
      </c>
      <c r="D60" s="57" t="s">
        <v>1057</v>
      </c>
      <c r="E60" s="21" t="s">
        <v>391</v>
      </c>
      <c r="F60" s="23">
        <v>3</v>
      </c>
      <c r="G60" s="154">
        <f t="shared" si="2"/>
        <v>0</v>
      </c>
      <c r="H60" s="15">
        <f t="shared" si="3"/>
        <v>0</v>
      </c>
      <c r="I60" s="124"/>
      <c r="J60" s="125"/>
    </row>
    <row r="61" spans="1:10" ht="38.25">
      <c r="A61" s="21">
        <v>60</v>
      </c>
      <c r="B61" s="21" t="s">
        <v>985</v>
      </c>
      <c r="C61" s="21" t="s">
        <v>1132</v>
      </c>
      <c r="D61" s="57" t="s">
        <v>1058</v>
      </c>
      <c r="E61" s="21" t="s">
        <v>391</v>
      </c>
      <c r="F61" s="23">
        <v>2</v>
      </c>
      <c r="G61" s="154">
        <f t="shared" si="2"/>
        <v>0</v>
      </c>
      <c r="H61" s="15">
        <f t="shared" si="3"/>
        <v>0</v>
      </c>
      <c r="I61" s="124"/>
      <c r="J61" s="125"/>
    </row>
    <row r="62" spans="1:10" ht="51">
      <c r="A62" s="21">
        <v>61</v>
      </c>
      <c r="B62" s="21" t="s">
        <v>986</v>
      </c>
      <c r="C62" s="21" t="s">
        <v>1133</v>
      </c>
      <c r="D62" s="57" t="s">
        <v>1059</v>
      </c>
      <c r="E62" s="21" t="s">
        <v>391</v>
      </c>
      <c r="F62" s="23">
        <v>2</v>
      </c>
      <c r="G62" s="154">
        <f t="shared" si="2"/>
        <v>0</v>
      </c>
      <c r="H62" s="15">
        <f t="shared" si="3"/>
        <v>0</v>
      </c>
      <c r="I62" s="124"/>
      <c r="J62" s="125"/>
    </row>
    <row r="63" spans="1:10" ht="63.75">
      <c r="A63" s="21">
        <v>62</v>
      </c>
      <c r="B63" s="21" t="s">
        <v>987</v>
      </c>
      <c r="C63" s="21" t="s">
        <v>1134</v>
      </c>
      <c r="D63" s="57" t="s">
        <v>1060</v>
      </c>
      <c r="E63" s="21" t="s">
        <v>391</v>
      </c>
      <c r="F63" s="23">
        <v>2</v>
      </c>
      <c r="G63" s="154">
        <f t="shared" si="2"/>
        <v>0</v>
      </c>
      <c r="H63" s="15">
        <f t="shared" si="3"/>
        <v>0</v>
      </c>
      <c r="I63" s="124"/>
      <c r="J63" s="125"/>
    </row>
    <row r="64" spans="1:10" ht="63.75">
      <c r="A64" s="21">
        <v>63</v>
      </c>
      <c r="B64" s="21" t="s">
        <v>988</v>
      </c>
      <c r="C64" s="21" t="s">
        <v>1135</v>
      </c>
      <c r="D64" s="57" t="s">
        <v>1061</v>
      </c>
      <c r="E64" s="21" t="s">
        <v>391</v>
      </c>
      <c r="F64" s="23">
        <v>2</v>
      </c>
      <c r="G64" s="154">
        <f t="shared" si="2"/>
        <v>0</v>
      </c>
      <c r="H64" s="15">
        <f t="shared" si="3"/>
        <v>0</v>
      </c>
      <c r="I64" s="124"/>
      <c r="J64" s="125"/>
    </row>
    <row r="65" spans="1:10" ht="51">
      <c r="A65" s="21">
        <v>64</v>
      </c>
      <c r="B65" s="21" t="s">
        <v>989</v>
      </c>
      <c r="C65" s="21" t="s">
        <v>1136</v>
      </c>
      <c r="D65" s="57" t="s">
        <v>1062</v>
      </c>
      <c r="E65" s="21" t="s">
        <v>391</v>
      </c>
      <c r="F65" s="23">
        <v>2</v>
      </c>
      <c r="G65" s="154">
        <f t="shared" si="2"/>
        <v>0</v>
      </c>
      <c r="H65" s="15">
        <f t="shared" si="3"/>
        <v>0</v>
      </c>
      <c r="I65" s="124"/>
      <c r="J65" s="125"/>
    </row>
    <row r="66" spans="1:10" ht="63.75">
      <c r="A66" s="21">
        <v>65</v>
      </c>
      <c r="B66" s="21" t="s">
        <v>990</v>
      </c>
      <c r="C66" s="21" t="s">
        <v>1137</v>
      </c>
      <c r="D66" s="57" t="s">
        <v>1063</v>
      </c>
      <c r="E66" s="21" t="s">
        <v>391</v>
      </c>
      <c r="F66" s="23">
        <v>2</v>
      </c>
      <c r="G66" s="154">
        <f t="shared" si="2"/>
        <v>0</v>
      </c>
      <c r="H66" s="15">
        <f t="shared" si="3"/>
        <v>0</v>
      </c>
      <c r="I66" s="124"/>
      <c r="J66" s="125"/>
    </row>
    <row r="67" spans="1:10" ht="38.25">
      <c r="A67" s="21">
        <v>66</v>
      </c>
      <c r="B67" s="21" t="s">
        <v>991</v>
      </c>
      <c r="C67" s="21" t="s">
        <v>1138</v>
      </c>
      <c r="D67" s="57" t="s">
        <v>1064</v>
      </c>
      <c r="E67" s="21" t="s">
        <v>391</v>
      </c>
      <c r="F67" s="23">
        <v>2</v>
      </c>
      <c r="G67" s="154">
        <f t="shared" si="2"/>
        <v>0</v>
      </c>
      <c r="H67" s="15">
        <f t="shared" si="3"/>
        <v>0</v>
      </c>
      <c r="I67" s="124"/>
      <c r="J67" s="125"/>
    </row>
    <row r="68" spans="1:10" ht="38.25">
      <c r="A68" s="21">
        <v>67</v>
      </c>
      <c r="B68" s="21" t="s">
        <v>992</v>
      </c>
      <c r="C68" s="21" t="s">
        <v>1139</v>
      </c>
      <c r="D68" s="57" t="s">
        <v>1065</v>
      </c>
      <c r="E68" s="21" t="s">
        <v>391</v>
      </c>
      <c r="F68" s="23">
        <v>2</v>
      </c>
      <c r="G68" s="154">
        <f t="shared" si="2"/>
        <v>0</v>
      </c>
      <c r="H68" s="15">
        <f t="shared" si="3"/>
        <v>0</v>
      </c>
      <c r="I68" s="124"/>
      <c r="J68" s="125"/>
    </row>
    <row r="69" spans="1:10" ht="25.5">
      <c r="A69" s="21">
        <v>68</v>
      </c>
      <c r="B69" s="21" t="s">
        <v>993</v>
      </c>
      <c r="C69" s="21" t="s">
        <v>1140</v>
      </c>
      <c r="D69" s="57" t="s">
        <v>1066</v>
      </c>
      <c r="E69" s="21" t="s">
        <v>391</v>
      </c>
      <c r="F69" s="23">
        <v>2</v>
      </c>
      <c r="G69" s="154">
        <f t="shared" si="2"/>
        <v>0</v>
      </c>
      <c r="H69" s="15">
        <f t="shared" si="3"/>
        <v>0</v>
      </c>
      <c r="I69" s="124"/>
      <c r="J69" s="125"/>
    </row>
    <row r="70" spans="1:10" ht="51">
      <c r="A70" s="21">
        <v>69</v>
      </c>
      <c r="B70" s="21" t="s">
        <v>994</v>
      </c>
      <c r="C70" s="21" t="s">
        <v>1141</v>
      </c>
      <c r="D70" s="57" t="s">
        <v>1067</v>
      </c>
      <c r="E70" s="21" t="s">
        <v>391</v>
      </c>
      <c r="F70" s="23">
        <v>4</v>
      </c>
      <c r="G70" s="154">
        <f t="shared" si="2"/>
        <v>0</v>
      </c>
      <c r="H70" s="15">
        <f t="shared" si="3"/>
        <v>0</v>
      </c>
      <c r="I70" s="124"/>
      <c r="J70" s="125"/>
    </row>
    <row r="71" spans="1:10" ht="25.5">
      <c r="A71" s="21">
        <v>70</v>
      </c>
      <c r="B71" s="21" t="s">
        <v>995</v>
      </c>
      <c r="C71" s="21" t="s">
        <v>1142</v>
      </c>
      <c r="D71" s="57" t="s">
        <v>1068</v>
      </c>
      <c r="E71" s="21" t="s">
        <v>391</v>
      </c>
      <c r="F71" s="23">
        <v>4</v>
      </c>
      <c r="G71" s="154">
        <f t="shared" si="2"/>
        <v>0</v>
      </c>
      <c r="H71" s="15">
        <f t="shared" si="3"/>
        <v>0</v>
      </c>
      <c r="I71" s="124"/>
      <c r="J71" s="125"/>
    </row>
    <row r="72" spans="1:10" ht="25.5">
      <c r="A72" s="21">
        <v>71</v>
      </c>
      <c r="B72" s="21" t="s">
        <v>996</v>
      </c>
      <c r="C72" s="21" t="s">
        <v>1143</v>
      </c>
      <c r="D72" s="57" t="s">
        <v>1069</v>
      </c>
      <c r="E72" s="21" t="s">
        <v>391</v>
      </c>
      <c r="F72" s="23">
        <v>4</v>
      </c>
      <c r="G72" s="154">
        <f>I72*1.35*88</f>
        <v>0</v>
      </c>
      <c r="H72" s="15">
        <f t="shared" si="0"/>
        <v>0</v>
      </c>
      <c r="I72" s="124"/>
      <c r="J72" s="125"/>
    </row>
    <row r="73" spans="1:10" ht="38.25">
      <c r="A73" s="21">
        <v>72</v>
      </c>
      <c r="B73" s="21" t="s">
        <v>997</v>
      </c>
      <c r="C73" s="21" t="s">
        <v>1144</v>
      </c>
      <c r="D73" s="57" t="s">
        <v>1070</v>
      </c>
      <c r="E73" s="21" t="s">
        <v>391</v>
      </c>
      <c r="F73" s="23">
        <v>4</v>
      </c>
      <c r="G73" s="154">
        <f>I73*1.35*88</f>
        <v>0</v>
      </c>
      <c r="H73" s="15">
        <f t="shared" si="0"/>
        <v>0</v>
      </c>
      <c r="I73" s="124"/>
      <c r="J73" s="125"/>
    </row>
    <row r="74" spans="1:10" ht="51">
      <c r="A74" s="21">
        <v>73</v>
      </c>
      <c r="B74" s="21" t="s">
        <v>998</v>
      </c>
      <c r="C74" s="21" t="s">
        <v>1145</v>
      </c>
      <c r="D74" s="57" t="s">
        <v>1071</v>
      </c>
      <c r="E74" s="21" t="s">
        <v>391</v>
      </c>
      <c r="F74" s="23">
        <v>2</v>
      </c>
      <c r="G74" s="154">
        <f>I74*1.35*88</f>
        <v>0</v>
      </c>
      <c r="H74" s="15">
        <f t="shared" si="0"/>
        <v>0</v>
      </c>
      <c r="I74" s="124"/>
      <c r="J74" s="125"/>
    </row>
    <row r="75" spans="1:10">
      <c r="A75" s="21">
        <v>74</v>
      </c>
      <c r="B75" s="397" t="s">
        <v>76</v>
      </c>
      <c r="C75" s="397"/>
      <c r="D75" s="397"/>
      <c r="E75" s="397"/>
      <c r="F75" s="397"/>
      <c r="G75" s="397"/>
      <c r="H75" s="162">
        <f>SUM(H2:H74)</f>
        <v>0</v>
      </c>
    </row>
    <row r="76" spans="1:10">
      <c r="A76" s="21">
        <v>75</v>
      </c>
      <c r="B76" s="397" t="s">
        <v>650</v>
      </c>
      <c r="C76" s="397"/>
      <c r="D76" s="397"/>
      <c r="E76" s="397"/>
      <c r="F76" s="397"/>
      <c r="G76" s="397"/>
      <c r="H76" s="162">
        <f>H75*2%</f>
        <v>0</v>
      </c>
    </row>
    <row r="77" spans="1:10">
      <c r="A77" s="21">
        <v>76</v>
      </c>
      <c r="B77" s="397" t="s">
        <v>789</v>
      </c>
      <c r="C77" s="397"/>
      <c r="D77" s="397"/>
      <c r="E77" s="397"/>
      <c r="F77" s="397"/>
      <c r="G77" s="397"/>
      <c r="H77" s="162">
        <f>(H75+H76)*18%</f>
        <v>0</v>
      </c>
    </row>
    <row r="78" spans="1:10">
      <c r="A78" s="21">
        <v>77</v>
      </c>
      <c r="B78" s="397" t="s">
        <v>742</v>
      </c>
      <c r="C78" s="397"/>
      <c r="D78" s="397"/>
      <c r="E78" s="397"/>
      <c r="F78" s="397"/>
      <c r="G78" s="397"/>
      <c r="H78" s="162">
        <f>SUM(H75:H77)</f>
        <v>0</v>
      </c>
    </row>
    <row r="79" spans="1:10">
      <c r="A79" s="398"/>
      <c r="B79" s="399"/>
      <c r="C79" s="399"/>
      <c r="D79" s="399"/>
      <c r="E79" s="399"/>
      <c r="F79" s="399"/>
      <c r="G79" s="399"/>
      <c r="H79" s="400"/>
    </row>
    <row r="80" spans="1:10" ht="180.95" customHeight="1">
      <c r="A80" s="128" t="s">
        <v>80</v>
      </c>
      <c r="B80" s="360" t="s">
        <v>800</v>
      </c>
      <c r="C80" s="360"/>
      <c r="D80" s="360"/>
      <c r="E80" s="360"/>
      <c r="F80" s="360"/>
      <c r="G80" s="360"/>
      <c r="H80" s="361"/>
    </row>
  </sheetData>
  <mergeCells count="6">
    <mergeCell ref="B80:H80"/>
    <mergeCell ref="B75:G75"/>
    <mergeCell ref="B76:G76"/>
    <mergeCell ref="B77:G77"/>
    <mergeCell ref="B78:G78"/>
    <mergeCell ref="A79:H79"/>
  </mergeCells>
  <printOptions horizontalCentered="1"/>
  <pageMargins left="0.31496062992125984" right="0.31496062992125984" top="0.55118110236220474" bottom="0.55118110236220474" header="0.31496062992125984" footer="0.31496062992125984"/>
  <pageSetup orientation="landscape" horizontalDpi="4294967292" r:id="rId1"/>
  <headerFooter>
    <oddFooter>Page &amp;P of &amp;N</oddFoot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Sheet68"/>
  <dimension ref="A1:J22"/>
  <sheetViews>
    <sheetView zoomScaleNormal="100" workbookViewId="0">
      <selection activeCell="D4" sqref="D4"/>
    </sheetView>
  </sheetViews>
  <sheetFormatPr defaultColWidth="9.140625" defaultRowHeight="12.75"/>
  <cols>
    <col min="1" max="1" width="5.85546875" style="119" bestFit="1" customWidth="1"/>
    <col min="2" max="2" width="12.5703125" style="119" customWidth="1"/>
    <col min="3" max="3" width="17.42578125" style="119" bestFit="1" customWidth="1"/>
    <col min="4" max="4" width="61.85546875" style="119" customWidth="1"/>
    <col min="5" max="5" width="5" style="119" bestFit="1" customWidth="1"/>
    <col min="6" max="6" width="6.28515625" style="119" bestFit="1" customWidth="1"/>
    <col min="7" max="7" width="15.140625" style="119" bestFit="1" customWidth="1"/>
    <col min="8" max="8" width="15.42578125" style="119" customWidth="1"/>
    <col min="9" max="9" width="10.5703125" style="119" bestFit="1" customWidth="1"/>
    <col min="10" max="10" width="11.42578125" style="127" bestFit="1" customWidth="1"/>
    <col min="11" max="11" width="9.42578125" style="119" bestFit="1" customWidth="1"/>
    <col min="12" max="16384" width="9.140625" style="119"/>
  </cols>
  <sheetData>
    <row r="1" spans="1:10" ht="25.5">
      <c r="A1" s="152" t="s">
        <v>0</v>
      </c>
      <c r="B1" s="152" t="s">
        <v>1</v>
      </c>
      <c r="C1" s="117" t="s">
        <v>778</v>
      </c>
      <c r="D1" s="117" t="s">
        <v>67</v>
      </c>
      <c r="E1" s="117" t="s">
        <v>3</v>
      </c>
      <c r="F1" s="117" t="s">
        <v>68</v>
      </c>
      <c r="G1" s="152" t="s">
        <v>69</v>
      </c>
      <c r="H1" s="152" t="s">
        <v>527</v>
      </c>
      <c r="J1" s="120" t="s">
        <v>145</v>
      </c>
    </row>
    <row r="2" spans="1:10" ht="25.5">
      <c r="A2" s="21">
        <v>1</v>
      </c>
      <c r="B2" s="21" t="s">
        <v>1147</v>
      </c>
      <c r="C2" s="21" t="s">
        <v>1148</v>
      </c>
      <c r="D2" s="57" t="s">
        <v>1192</v>
      </c>
      <c r="E2" s="21" t="s">
        <v>121</v>
      </c>
      <c r="F2" s="23">
        <v>20</v>
      </c>
      <c r="G2" s="154">
        <f>I2*88*1.3</f>
        <v>17732</v>
      </c>
      <c r="H2" s="15">
        <f>G2*F2</f>
        <v>354640</v>
      </c>
      <c r="I2" s="124">
        <f>J2</f>
        <v>155</v>
      </c>
      <c r="J2" s="125">
        <f>80+75</f>
        <v>155</v>
      </c>
    </row>
    <row r="3" spans="1:10" ht="38.25">
      <c r="A3" s="21">
        <v>2</v>
      </c>
      <c r="B3" s="21" t="s">
        <v>1149</v>
      </c>
      <c r="C3" s="21" t="s">
        <v>1150</v>
      </c>
      <c r="D3" s="57" t="s">
        <v>1151</v>
      </c>
      <c r="E3" s="21" t="s">
        <v>221</v>
      </c>
      <c r="F3" s="23">
        <v>1</v>
      </c>
      <c r="G3" s="154">
        <f>I3*88*1.3</f>
        <v>62920</v>
      </c>
      <c r="H3" s="15">
        <f>G3*F3</f>
        <v>62920</v>
      </c>
      <c r="I3" s="124">
        <f>J3</f>
        <v>550</v>
      </c>
      <c r="J3" s="125">
        <v>550</v>
      </c>
    </row>
    <row r="4" spans="1:10" ht="63.75">
      <c r="A4" s="21">
        <v>3</v>
      </c>
      <c r="B4" s="21" t="s">
        <v>1152</v>
      </c>
      <c r="C4" s="21" t="s">
        <v>1153</v>
      </c>
      <c r="D4" s="57" t="s">
        <v>1154</v>
      </c>
      <c r="E4" s="21" t="s">
        <v>221</v>
      </c>
      <c r="F4" s="23">
        <v>1</v>
      </c>
      <c r="G4" s="154">
        <f>I4*88*1.3</f>
        <v>62920</v>
      </c>
      <c r="H4" s="15">
        <f>G4*F4</f>
        <v>62920</v>
      </c>
      <c r="I4" s="124">
        <f>J4</f>
        <v>550</v>
      </c>
      <c r="J4" s="125">
        <v>550</v>
      </c>
    </row>
    <row r="5" spans="1:10" ht="78" customHeight="1">
      <c r="A5" s="21">
        <v>4</v>
      </c>
      <c r="B5" s="21" t="s">
        <v>1155</v>
      </c>
      <c r="C5" s="21" t="s">
        <v>1156</v>
      </c>
      <c r="D5" s="57" t="s">
        <v>1157</v>
      </c>
      <c r="E5" s="21" t="s">
        <v>121</v>
      </c>
      <c r="F5" s="23">
        <v>20</v>
      </c>
      <c r="G5" s="154">
        <f>I5*88*1.3</f>
        <v>37180</v>
      </c>
      <c r="H5" s="15">
        <f>G5*F5</f>
        <v>743600</v>
      </c>
      <c r="I5" s="124">
        <f>J5</f>
        <v>325</v>
      </c>
      <c r="J5" s="125">
        <v>325</v>
      </c>
    </row>
    <row r="6" spans="1:10" ht="38.25">
      <c r="A6" s="21">
        <v>5</v>
      </c>
      <c r="B6" s="21" t="s">
        <v>1158</v>
      </c>
      <c r="C6" s="21" t="s">
        <v>1159</v>
      </c>
      <c r="D6" s="57" t="s">
        <v>1160</v>
      </c>
      <c r="E6" s="21" t="s">
        <v>121</v>
      </c>
      <c r="F6" s="23">
        <v>1</v>
      </c>
      <c r="G6" s="154">
        <f t="shared" ref="G6:G16" si="0">I6*88*1.3</f>
        <v>62920</v>
      </c>
      <c r="H6" s="15">
        <f t="shared" ref="H6:H16" si="1">G6*F6</f>
        <v>62920</v>
      </c>
      <c r="I6" s="124">
        <f t="shared" ref="I6:I16" si="2">J6</f>
        <v>550</v>
      </c>
      <c r="J6" s="125">
        <v>550</v>
      </c>
    </row>
    <row r="7" spans="1:10" ht="38.25">
      <c r="A7" s="21">
        <v>6</v>
      </c>
      <c r="B7" s="21" t="s">
        <v>1161</v>
      </c>
      <c r="C7" s="21" t="s">
        <v>1162</v>
      </c>
      <c r="D7" s="57" t="s">
        <v>1163</v>
      </c>
      <c r="E7" s="21" t="s">
        <v>121</v>
      </c>
      <c r="F7" s="23">
        <v>1</v>
      </c>
      <c r="G7" s="154">
        <f t="shared" si="0"/>
        <v>62920</v>
      </c>
      <c r="H7" s="15">
        <f t="shared" si="1"/>
        <v>62920</v>
      </c>
      <c r="I7" s="124">
        <f t="shared" si="2"/>
        <v>550</v>
      </c>
      <c r="J7" s="125">
        <v>550</v>
      </c>
    </row>
    <row r="8" spans="1:10" ht="38.25">
      <c r="A8" s="21">
        <v>7</v>
      </c>
      <c r="B8" s="21" t="s">
        <v>1164</v>
      </c>
      <c r="C8" s="21" t="s">
        <v>1165</v>
      </c>
      <c r="D8" s="57" t="s">
        <v>1166</v>
      </c>
      <c r="E8" s="21" t="s">
        <v>121</v>
      </c>
      <c r="F8" s="23">
        <v>1</v>
      </c>
      <c r="G8" s="154">
        <f t="shared" si="0"/>
        <v>37180</v>
      </c>
      <c r="H8" s="15">
        <f t="shared" si="1"/>
        <v>37180</v>
      </c>
      <c r="I8" s="124">
        <f t="shared" si="2"/>
        <v>325</v>
      </c>
      <c r="J8" s="125">
        <v>325</v>
      </c>
    </row>
    <row r="9" spans="1:10" ht="38.25">
      <c r="A9" s="21">
        <v>8</v>
      </c>
      <c r="B9" s="21" t="s">
        <v>1167</v>
      </c>
      <c r="C9" s="21" t="s">
        <v>1168</v>
      </c>
      <c r="D9" s="57" t="s">
        <v>1169</v>
      </c>
      <c r="E9" s="21" t="s">
        <v>121</v>
      </c>
      <c r="F9" s="23">
        <v>1</v>
      </c>
      <c r="G9" s="154">
        <f t="shared" si="0"/>
        <v>62920</v>
      </c>
      <c r="H9" s="15">
        <f t="shared" si="1"/>
        <v>62920</v>
      </c>
      <c r="I9" s="124">
        <f t="shared" si="2"/>
        <v>550</v>
      </c>
      <c r="J9" s="125">
        <v>550</v>
      </c>
    </row>
    <row r="10" spans="1:10" ht="38.25">
      <c r="A10" s="21">
        <v>9</v>
      </c>
      <c r="B10" s="21" t="s">
        <v>1170</v>
      </c>
      <c r="C10" s="21" t="s">
        <v>1171</v>
      </c>
      <c r="D10" s="57" t="s">
        <v>1172</v>
      </c>
      <c r="E10" s="21" t="s">
        <v>121</v>
      </c>
      <c r="F10" s="23">
        <v>1</v>
      </c>
      <c r="G10" s="154">
        <f t="shared" si="0"/>
        <v>62920</v>
      </c>
      <c r="H10" s="15">
        <f t="shared" si="1"/>
        <v>62920</v>
      </c>
      <c r="I10" s="124">
        <f t="shared" si="2"/>
        <v>550</v>
      </c>
      <c r="J10" s="125">
        <v>550</v>
      </c>
    </row>
    <row r="11" spans="1:10" ht="38.25">
      <c r="A11" s="21">
        <v>10</v>
      </c>
      <c r="B11" s="21" t="s">
        <v>1173</v>
      </c>
      <c r="C11" s="21" t="s">
        <v>1174</v>
      </c>
      <c r="D11" s="57" t="s">
        <v>1175</v>
      </c>
      <c r="E11" s="21" t="s">
        <v>121</v>
      </c>
      <c r="F11" s="23">
        <v>1</v>
      </c>
      <c r="G11" s="154">
        <f t="shared" si="0"/>
        <v>62920</v>
      </c>
      <c r="H11" s="15">
        <f t="shared" si="1"/>
        <v>62920</v>
      </c>
      <c r="I11" s="124">
        <f t="shared" si="2"/>
        <v>550</v>
      </c>
      <c r="J11" s="125">
        <v>550</v>
      </c>
    </row>
    <row r="12" spans="1:10" ht="51">
      <c r="A12" s="21">
        <v>11</v>
      </c>
      <c r="B12" s="21" t="s">
        <v>1176</v>
      </c>
      <c r="C12" s="21" t="s">
        <v>1177</v>
      </c>
      <c r="D12" s="57" t="s">
        <v>1178</v>
      </c>
      <c r="E12" s="21" t="s">
        <v>121</v>
      </c>
      <c r="F12" s="23">
        <v>6</v>
      </c>
      <c r="G12" s="154">
        <f t="shared" si="0"/>
        <v>25740</v>
      </c>
      <c r="H12" s="15">
        <f t="shared" si="1"/>
        <v>154440</v>
      </c>
      <c r="I12" s="124">
        <f t="shared" si="2"/>
        <v>225</v>
      </c>
      <c r="J12" s="125">
        <v>225</v>
      </c>
    </row>
    <row r="13" spans="1:10" ht="38.25">
      <c r="A13" s="21">
        <v>12</v>
      </c>
      <c r="B13" s="21" t="s">
        <v>1179</v>
      </c>
      <c r="C13" s="21" t="s">
        <v>1180</v>
      </c>
      <c r="D13" s="57" t="s">
        <v>1181</v>
      </c>
      <c r="E13" s="21" t="s">
        <v>1182</v>
      </c>
      <c r="F13" s="23">
        <v>1</v>
      </c>
      <c r="G13" s="154">
        <f t="shared" si="0"/>
        <v>69784</v>
      </c>
      <c r="H13" s="15">
        <f t="shared" si="1"/>
        <v>69784</v>
      </c>
      <c r="I13" s="124">
        <f t="shared" si="2"/>
        <v>610</v>
      </c>
      <c r="J13" s="125">
        <v>610</v>
      </c>
    </row>
    <row r="14" spans="1:10" ht="38.25">
      <c r="A14" s="21">
        <v>13</v>
      </c>
      <c r="B14" s="21" t="s">
        <v>1183</v>
      </c>
      <c r="C14" s="21" t="s">
        <v>1184</v>
      </c>
      <c r="D14" s="57" t="s">
        <v>1185</v>
      </c>
      <c r="E14" s="21" t="s">
        <v>1182</v>
      </c>
      <c r="F14" s="23">
        <v>2</v>
      </c>
      <c r="G14" s="154">
        <f t="shared" si="0"/>
        <v>23452</v>
      </c>
      <c r="H14" s="15">
        <f t="shared" si="1"/>
        <v>46904</v>
      </c>
      <c r="I14" s="124">
        <f t="shared" si="2"/>
        <v>205</v>
      </c>
      <c r="J14" s="125">
        <v>205</v>
      </c>
    </row>
    <row r="15" spans="1:10" ht="38.25">
      <c r="A15" s="21">
        <v>14</v>
      </c>
      <c r="B15" s="21" t="s">
        <v>1186</v>
      </c>
      <c r="C15" s="21" t="s">
        <v>1187</v>
      </c>
      <c r="D15" s="57" t="s">
        <v>1188</v>
      </c>
      <c r="E15" s="21" t="s">
        <v>1182</v>
      </c>
      <c r="F15" s="23">
        <v>2</v>
      </c>
      <c r="G15" s="154">
        <f t="shared" si="0"/>
        <v>25740</v>
      </c>
      <c r="H15" s="15">
        <f t="shared" si="1"/>
        <v>51480</v>
      </c>
      <c r="I15" s="124">
        <f t="shared" si="2"/>
        <v>225</v>
      </c>
      <c r="J15" s="125">
        <v>225</v>
      </c>
    </row>
    <row r="16" spans="1:10" ht="38.25">
      <c r="A16" s="21">
        <v>15</v>
      </c>
      <c r="B16" s="21" t="s">
        <v>1189</v>
      </c>
      <c r="C16" s="21" t="s">
        <v>1190</v>
      </c>
      <c r="D16" s="57" t="s">
        <v>1191</v>
      </c>
      <c r="E16" s="21" t="s">
        <v>1182</v>
      </c>
      <c r="F16" s="23">
        <v>2</v>
      </c>
      <c r="G16" s="154">
        <f t="shared" si="0"/>
        <v>18876</v>
      </c>
      <c r="H16" s="15">
        <f t="shared" si="1"/>
        <v>37752</v>
      </c>
      <c r="I16" s="124">
        <f t="shared" si="2"/>
        <v>165</v>
      </c>
      <c r="J16" s="125">
        <v>165</v>
      </c>
    </row>
    <row r="17" spans="1:8">
      <c r="A17" s="21">
        <v>16</v>
      </c>
      <c r="B17" s="397" t="s">
        <v>76</v>
      </c>
      <c r="C17" s="397"/>
      <c r="D17" s="397"/>
      <c r="E17" s="397"/>
      <c r="F17" s="397"/>
      <c r="G17" s="397"/>
      <c r="H17" s="162">
        <f>SUM(H2:H16)</f>
        <v>1936220</v>
      </c>
    </row>
    <row r="18" spans="1:8">
      <c r="A18" s="21">
        <v>17</v>
      </c>
      <c r="B18" s="397" t="s">
        <v>650</v>
      </c>
      <c r="C18" s="397"/>
      <c r="D18" s="397"/>
      <c r="E18" s="397"/>
      <c r="F18" s="397"/>
      <c r="G18" s="397"/>
      <c r="H18" s="162">
        <f>H17*2%</f>
        <v>38724.400000000001</v>
      </c>
    </row>
    <row r="19" spans="1:8">
      <c r="A19" s="21">
        <v>18</v>
      </c>
      <c r="B19" s="397" t="s">
        <v>1193</v>
      </c>
      <c r="C19" s="397"/>
      <c r="D19" s="397"/>
      <c r="E19" s="397"/>
      <c r="F19" s="397"/>
      <c r="G19" s="397"/>
      <c r="H19" s="162">
        <f>(H17+H18)*18%</f>
        <v>355489.99199999997</v>
      </c>
    </row>
    <row r="20" spans="1:8">
      <c r="A20" s="21">
        <v>14</v>
      </c>
      <c r="B20" s="397" t="s">
        <v>742</v>
      </c>
      <c r="C20" s="397"/>
      <c r="D20" s="397"/>
      <c r="E20" s="397"/>
      <c r="F20" s="397"/>
      <c r="G20" s="397"/>
      <c r="H20" s="162">
        <f>SUM(H17:H19)</f>
        <v>2330434.392</v>
      </c>
    </row>
    <row r="21" spans="1:8">
      <c r="A21" s="398"/>
      <c r="B21" s="399"/>
      <c r="C21" s="399"/>
      <c r="D21" s="399"/>
      <c r="E21" s="399"/>
      <c r="F21" s="399"/>
      <c r="G21" s="399"/>
      <c r="H21" s="400"/>
    </row>
    <row r="22" spans="1:8" ht="180.95" customHeight="1">
      <c r="A22" s="128" t="s">
        <v>80</v>
      </c>
      <c r="B22" s="360" t="s">
        <v>788</v>
      </c>
      <c r="C22" s="360"/>
      <c r="D22" s="360"/>
      <c r="E22" s="360"/>
      <c r="F22" s="360"/>
      <c r="G22" s="360"/>
      <c r="H22" s="361"/>
    </row>
  </sheetData>
  <autoFilter ref="A1:N20" xr:uid="{00000000-0009-0000-0000-000043000000}"/>
  <mergeCells count="6">
    <mergeCell ref="B22:H22"/>
    <mergeCell ref="B17:G17"/>
    <mergeCell ref="B18:G18"/>
    <mergeCell ref="B19:G19"/>
    <mergeCell ref="B20:G20"/>
    <mergeCell ref="A21:H21"/>
  </mergeCells>
  <printOptions horizontalCentered="1"/>
  <pageMargins left="0.31496062992125984" right="0.31496062992125984" top="0.55118110236220474" bottom="0.55118110236220474" header="0.31496062992125984" footer="0.31496062992125984"/>
  <pageSetup orientation="landscape" horizontalDpi="4294967292" r:id="rId1"/>
  <headerFooter>
    <oddFooter>Page &amp;P of &amp;N</oddFoot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Sheet69"/>
  <dimension ref="A1:M54"/>
  <sheetViews>
    <sheetView topLeftCell="A31" zoomScaleNormal="100" workbookViewId="0">
      <selection activeCell="D20" sqref="D20"/>
    </sheetView>
  </sheetViews>
  <sheetFormatPr defaultColWidth="9.140625" defaultRowHeight="12.75"/>
  <cols>
    <col min="1" max="1" width="5.85546875" style="119" bestFit="1" customWidth="1"/>
    <col min="2" max="2" width="12.5703125" style="119" customWidth="1"/>
    <col min="3" max="3" width="17.42578125" style="119" bestFit="1" customWidth="1"/>
    <col min="4" max="4" width="27" style="119" customWidth="1"/>
    <col min="5" max="5" width="6.28515625" style="119" bestFit="1" customWidth="1"/>
    <col min="6" max="6" width="5" style="119" bestFit="1" customWidth="1"/>
    <col min="7" max="7" width="15.140625" style="119" bestFit="1" customWidth="1"/>
    <col min="8" max="8" width="15.42578125" style="119" customWidth="1"/>
    <col min="9" max="9" width="10.5703125" style="119" bestFit="1" customWidth="1"/>
    <col min="10" max="10" width="11.42578125" style="127" bestFit="1" customWidth="1"/>
    <col min="11" max="11" width="9.42578125" style="163" bestFit="1" customWidth="1"/>
    <col min="12" max="16384" width="9.140625" style="119"/>
  </cols>
  <sheetData>
    <row r="1" spans="1:13" ht="25.5">
      <c r="A1" s="152" t="s">
        <v>0</v>
      </c>
      <c r="B1" s="152" t="s">
        <v>1</v>
      </c>
      <c r="C1" s="117" t="s">
        <v>778</v>
      </c>
      <c r="D1" s="117" t="s">
        <v>67</v>
      </c>
      <c r="E1" s="117" t="s">
        <v>68</v>
      </c>
      <c r="F1" s="117" t="s">
        <v>3</v>
      </c>
      <c r="G1" s="152" t="s">
        <v>69</v>
      </c>
      <c r="H1" s="152" t="s">
        <v>527</v>
      </c>
      <c r="I1" s="119" t="s">
        <v>394</v>
      </c>
      <c r="J1" s="120" t="s">
        <v>145</v>
      </c>
      <c r="K1" s="163" t="s">
        <v>316</v>
      </c>
    </row>
    <row r="2" spans="1:13" ht="178.5">
      <c r="A2" s="21">
        <v>1</v>
      </c>
      <c r="B2" s="21" t="s">
        <v>927</v>
      </c>
      <c r="C2" s="21" t="s">
        <v>1074</v>
      </c>
      <c r="D2" s="57" t="s">
        <v>1000</v>
      </c>
      <c r="E2" s="23" t="s">
        <v>714</v>
      </c>
      <c r="F2" s="21">
        <v>3</v>
      </c>
      <c r="G2" s="154">
        <f t="shared" ref="G2:G7" si="0">I2*88*1.3</f>
        <v>22880</v>
      </c>
      <c r="H2" s="15">
        <f t="shared" ref="H2:H7" si="1">G2*F2</f>
        <v>68640</v>
      </c>
      <c r="I2" s="124">
        <v>200</v>
      </c>
      <c r="J2" s="125">
        <v>45</v>
      </c>
      <c r="K2" s="119"/>
      <c r="M2" s="167">
        <f>G2/85</f>
        <v>269.1764705882353</v>
      </c>
    </row>
    <row r="3" spans="1:13" ht="102">
      <c r="A3" s="21">
        <v>2</v>
      </c>
      <c r="B3" s="21" t="s">
        <v>928</v>
      </c>
      <c r="C3" s="21" t="s">
        <v>1075</v>
      </c>
      <c r="D3" s="57" t="s">
        <v>1001</v>
      </c>
      <c r="E3" s="23" t="s">
        <v>1072</v>
      </c>
      <c r="F3" s="21">
        <v>1</v>
      </c>
      <c r="G3" s="154">
        <f t="shared" si="0"/>
        <v>0</v>
      </c>
      <c r="H3" s="15">
        <f t="shared" si="1"/>
        <v>0</v>
      </c>
      <c r="I3" s="124"/>
      <c r="J3" s="125"/>
      <c r="K3" s="119"/>
      <c r="M3" s="167">
        <f t="shared" ref="M3:M49" si="2">G3/85</f>
        <v>0</v>
      </c>
    </row>
    <row r="4" spans="1:13" ht="63.75">
      <c r="A4" s="21">
        <v>3</v>
      </c>
      <c r="B4" s="21" t="s">
        <v>929</v>
      </c>
      <c r="C4" s="21" t="s">
        <v>1195</v>
      </c>
      <c r="D4" s="57" t="s">
        <v>1002</v>
      </c>
      <c r="E4" s="23" t="s">
        <v>714</v>
      </c>
      <c r="F4" s="21">
        <v>1</v>
      </c>
      <c r="G4" s="154">
        <f t="shared" si="0"/>
        <v>0</v>
      </c>
      <c r="H4" s="15">
        <f t="shared" si="1"/>
        <v>0</v>
      </c>
      <c r="I4" s="124"/>
      <c r="J4" s="125"/>
      <c r="K4" s="119"/>
      <c r="M4" s="167">
        <f t="shared" si="2"/>
        <v>0</v>
      </c>
    </row>
    <row r="5" spans="1:13" ht="51">
      <c r="A5" s="21">
        <v>4</v>
      </c>
      <c r="B5" s="21" t="s">
        <v>934</v>
      </c>
      <c r="C5" s="21" t="s">
        <v>1081</v>
      </c>
      <c r="D5" s="57" t="s">
        <v>1007</v>
      </c>
      <c r="E5" s="23" t="s">
        <v>1072</v>
      </c>
      <c r="F5" s="21">
        <v>6</v>
      </c>
      <c r="G5" s="154">
        <f t="shared" si="0"/>
        <v>91520</v>
      </c>
      <c r="H5" s="15">
        <f t="shared" si="1"/>
        <v>549120</v>
      </c>
      <c r="I5" s="124">
        <v>800</v>
      </c>
      <c r="J5" s="125">
        <v>680</v>
      </c>
      <c r="K5" s="119"/>
      <c r="M5" s="167">
        <f t="shared" si="2"/>
        <v>1076.7058823529412</v>
      </c>
    </row>
    <row r="6" spans="1:13" ht="76.5">
      <c r="A6" s="21">
        <v>5</v>
      </c>
      <c r="B6" s="21" t="s">
        <v>940</v>
      </c>
      <c r="C6" s="21" t="s">
        <v>1196</v>
      </c>
      <c r="D6" s="57" t="s">
        <v>1013</v>
      </c>
      <c r="E6" s="23" t="s">
        <v>714</v>
      </c>
      <c r="F6" s="21">
        <v>4</v>
      </c>
      <c r="G6" s="154">
        <f t="shared" si="0"/>
        <v>0</v>
      </c>
      <c r="H6" s="15">
        <f t="shared" si="1"/>
        <v>0</v>
      </c>
      <c r="I6" s="124"/>
      <c r="J6" s="125"/>
      <c r="K6" s="119"/>
      <c r="M6" s="167">
        <f t="shared" si="2"/>
        <v>0</v>
      </c>
    </row>
    <row r="7" spans="1:13" ht="76.5">
      <c r="A7" s="21">
        <v>6</v>
      </c>
      <c r="B7" s="21" t="s">
        <v>941</v>
      </c>
      <c r="C7" s="21" t="s">
        <v>1197</v>
      </c>
      <c r="D7" s="57" t="s">
        <v>1014</v>
      </c>
      <c r="E7" s="23" t="s">
        <v>714</v>
      </c>
      <c r="F7" s="21">
        <v>4</v>
      </c>
      <c r="G7" s="154">
        <f t="shared" si="0"/>
        <v>0</v>
      </c>
      <c r="H7" s="15">
        <f t="shared" si="1"/>
        <v>0</v>
      </c>
      <c r="I7" s="124"/>
      <c r="J7" s="125"/>
      <c r="K7" s="119"/>
      <c r="M7" s="167">
        <f t="shared" si="2"/>
        <v>0</v>
      </c>
    </row>
    <row r="8" spans="1:13" ht="51">
      <c r="A8" s="21">
        <v>7</v>
      </c>
      <c r="B8" s="21" t="s">
        <v>942</v>
      </c>
      <c r="C8" s="21" t="s">
        <v>1198</v>
      </c>
      <c r="D8" s="57" t="s">
        <v>1015</v>
      </c>
      <c r="E8" s="23" t="s">
        <v>714</v>
      </c>
      <c r="F8" s="21">
        <v>4</v>
      </c>
      <c r="G8" s="154">
        <f t="shared" ref="G8:G49" si="3">I8*88*1.3</f>
        <v>68640</v>
      </c>
      <c r="H8" s="15">
        <f t="shared" ref="H8:H49" si="4">G8*F8</f>
        <v>274560</v>
      </c>
      <c r="I8" s="124">
        <v>600</v>
      </c>
      <c r="J8" s="125">
        <v>493</v>
      </c>
      <c r="K8" s="119"/>
      <c r="M8" s="167">
        <f t="shared" si="2"/>
        <v>807.52941176470586</v>
      </c>
    </row>
    <row r="9" spans="1:13" ht="102">
      <c r="A9" s="21">
        <v>8</v>
      </c>
      <c r="B9" s="21" t="s">
        <v>943</v>
      </c>
      <c r="C9" s="21" t="s">
        <v>1199</v>
      </c>
      <c r="D9" s="57" t="s">
        <v>1016</v>
      </c>
      <c r="E9" s="23" t="s">
        <v>714</v>
      </c>
      <c r="F9" s="21">
        <v>5</v>
      </c>
      <c r="G9" s="154">
        <f t="shared" si="3"/>
        <v>0</v>
      </c>
      <c r="H9" s="15">
        <f t="shared" si="4"/>
        <v>0</v>
      </c>
      <c r="I9" s="124"/>
      <c r="J9" s="125"/>
      <c r="K9" s="119"/>
      <c r="M9" s="167">
        <f t="shared" si="2"/>
        <v>0</v>
      </c>
    </row>
    <row r="10" spans="1:13" ht="76.5">
      <c r="A10" s="21">
        <v>9</v>
      </c>
      <c r="B10" s="21" t="s">
        <v>944</v>
      </c>
      <c r="C10" s="21" t="s">
        <v>1200</v>
      </c>
      <c r="D10" s="57" t="s">
        <v>1017</v>
      </c>
      <c r="E10" s="23" t="s">
        <v>714</v>
      </c>
      <c r="F10" s="21">
        <v>8</v>
      </c>
      <c r="G10" s="154">
        <f t="shared" si="3"/>
        <v>54912</v>
      </c>
      <c r="H10" s="15">
        <f t="shared" si="4"/>
        <v>439296</v>
      </c>
      <c r="I10" s="124">
        <v>480</v>
      </c>
      <c r="J10" s="125">
        <v>458</v>
      </c>
      <c r="K10" s="163">
        <f>1615/7.2</f>
        <v>224.30555555555554</v>
      </c>
      <c r="M10" s="167">
        <f t="shared" si="2"/>
        <v>646.02352941176468</v>
      </c>
    </row>
    <row r="11" spans="1:13" ht="89.25">
      <c r="A11" s="21">
        <v>10</v>
      </c>
      <c r="B11" s="21" t="s">
        <v>945</v>
      </c>
      <c r="C11" s="21" t="s">
        <v>1201</v>
      </c>
      <c r="D11" s="57" t="s">
        <v>1018</v>
      </c>
      <c r="E11" s="23" t="s">
        <v>709</v>
      </c>
      <c r="F11" s="21">
        <v>3</v>
      </c>
      <c r="G11" s="154">
        <v>115000</v>
      </c>
      <c r="H11" s="15">
        <f t="shared" si="4"/>
        <v>345000</v>
      </c>
      <c r="I11" s="124"/>
      <c r="J11" s="125" t="s">
        <v>1222</v>
      </c>
      <c r="K11" s="119"/>
      <c r="M11" s="167">
        <f t="shared" si="2"/>
        <v>1352.9411764705883</v>
      </c>
    </row>
    <row r="12" spans="1:13" ht="76.5">
      <c r="A12" s="21">
        <v>11</v>
      </c>
      <c r="B12" s="21" t="s">
        <v>946</v>
      </c>
      <c r="C12" s="21" t="s">
        <v>1202</v>
      </c>
      <c r="D12" s="57" t="s">
        <v>1019</v>
      </c>
      <c r="E12" s="23" t="s">
        <v>714</v>
      </c>
      <c r="F12" s="21">
        <v>10</v>
      </c>
      <c r="G12" s="154">
        <v>20000</v>
      </c>
      <c r="H12" s="15">
        <f t="shared" si="4"/>
        <v>200000</v>
      </c>
      <c r="I12" s="124"/>
      <c r="J12" s="125"/>
      <c r="K12" s="119"/>
      <c r="M12" s="167">
        <f t="shared" si="2"/>
        <v>235.29411764705881</v>
      </c>
    </row>
    <row r="13" spans="1:13" ht="102">
      <c r="A13" s="21">
        <v>12</v>
      </c>
      <c r="B13" s="21" t="s">
        <v>950</v>
      </c>
      <c r="C13" s="21" t="s">
        <v>1203</v>
      </c>
      <c r="D13" s="57" t="s">
        <v>1023</v>
      </c>
      <c r="E13" s="23" t="s">
        <v>714</v>
      </c>
      <c r="F13" s="21">
        <v>4</v>
      </c>
      <c r="G13" s="154">
        <f t="shared" si="3"/>
        <v>10296</v>
      </c>
      <c r="H13" s="15">
        <f t="shared" si="4"/>
        <v>41184</v>
      </c>
      <c r="I13" s="124">
        <v>90</v>
      </c>
      <c r="J13" s="125">
        <v>72</v>
      </c>
      <c r="K13" s="119"/>
      <c r="M13" s="167">
        <f t="shared" si="2"/>
        <v>121.12941176470588</v>
      </c>
    </row>
    <row r="14" spans="1:13" ht="127.5">
      <c r="A14" s="21">
        <v>13</v>
      </c>
      <c r="B14" s="21" t="s">
        <v>951</v>
      </c>
      <c r="C14" s="21" t="s">
        <v>1204</v>
      </c>
      <c r="D14" s="57" t="s">
        <v>1024</v>
      </c>
      <c r="E14" s="23" t="s">
        <v>714</v>
      </c>
      <c r="F14" s="21">
        <v>4</v>
      </c>
      <c r="G14" s="154">
        <f t="shared" si="3"/>
        <v>0</v>
      </c>
      <c r="H14" s="15">
        <f t="shared" si="4"/>
        <v>0</v>
      </c>
      <c r="I14" s="124"/>
      <c r="J14" s="125"/>
      <c r="K14" s="119"/>
      <c r="M14" s="167">
        <f t="shared" si="2"/>
        <v>0</v>
      </c>
    </row>
    <row r="15" spans="1:13" ht="76.5">
      <c r="A15" s="21">
        <v>14</v>
      </c>
      <c r="B15" s="21" t="s">
        <v>952</v>
      </c>
      <c r="C15" s="21" t="s">
        <v>1099</v>
      </c>
      <c r="D15" s="57" t="s">
        <v>1025</v>
      </c>
      <c r="E15" s="23" t="s">
        <v>714</v>
      </c>
      <c r="F15" s="21">
        <v>6</v>
      </c>
      <c r="G15" s="154">
        <f t="shared" si="3"/>
        <v>0</v>
      </c>
      <c r="H15" s="15">
        <f t="shared" si="4"/>
        <v>0</v>
      </c>
      <c r="I15" s="124"/>
      <c r="J15" s="125"/>
      <c r="K15" s="119"/>
      <c r="M15" s="167">
        <f t="shared" si="2"/>
        <v>0</v>
      </c>
    </row>
    <row r="16" spans="1:13" ht="38.25">
      <c r="A16" s="21">
        <v>15</v>
      </c>
      <c r="B16" s="21" t="s">
        <v>955</v>
      </c>
      <c r="C16" s="21" t="s">
        <v>1205</v>
      </c>
      <c r="D16" s="57" t="s">
        <v>1028</v>
      </c>
      <c r="E16" s="23" t="s">
        <v>714</v>
      </c>
      <c r="F16" s="21">
        <v>1</v>
      </c>
      <c r="G16" s="154">
        <f t="shared" si="3"/>
        <v>88774.400000000009</v>
      </c>
      <c r="H16" s="15">
        <f t="shared" si="4"/>
        <v>88774.400000000009</v>
      </c>
      <c r="I16" s="124">
        <v>776</v>
      </c>
      <c r="J16" s="125">
        <v>873</v>
      </c>
      <c r="K16" s="163">
        <f>5590/7.2</f>
        <v>776.38888888888891</v>
      </c>
      <c r="M16" s="167">
        <f t="shared" si="2"/>
        <v>1044.404705882353</v>
      </c>
    </row>
    <row r="17" spans="1:13" ht="63.75">
      <c r="A17" s="21">
        <v>16</v>
      </c>
      <c r="B17" s="21" t="s">
        <v>956</v>
      </c>
      <c r="C17" s="21" t="s">
        <v>1206</v>
      </c>
      <c r="D17" s="57" t="s">
        <v>1029</v>
      </c>
      <c r="E17" s="23" t="s">
        <v>714</v>
      </c>
      <c r="F17" s="21">
        <v>2</v>
      </c>
      <c r="G17" s="154">
        <f t="shared" si="3"/>
        <v>0</v>
      </c>
      <c r="H17" s="15">
        <f t="shared" si="4"/>
        <v>0</v>
      </c>
      <c r="I17" s="124"/>
      <c r="J17" s="125"/>
      <c r="K17" s="119"/>
      <c r="M17" s="167">
        <f t="shared" si="2"/>
        <v>0</v>
      </c>
    </row>
    <row r="18" spans="1:13" ht="51">
      <c r="A18" s="21">
        <v>17</v>
      </c>
      <c r="B18" s="21" t="s">
        <v>957</v>
      </c>
      <c r="C18" s="21" t="s">
        <v>1104</v>
      </c>
      <c r="D18" s="57" t="s">
        <v>1030</v>
      </c>
      <c r="E18" s="23" t="s">
        <v>714</v>
      </c>
      <c r="F18" s="21">
        <v>1</v>
      </c>
      <c r="G18" s="154">
        <f t="shared" si="3"/>
        <v>0</v>
      </c>
      <c r="H18" s="15">
        <f t="shared" si="4"/>
        <v>0</v>
      </c>
      <c r="I18" s="124"/>
      <c r="J18" s="125"/>
      <c r="K18" s="119"/>
      <c r="M18" s="167">
        <f t="shared" si="2"/>
        <v>0</v>
      </c>
    </row>
    <row r="19" spans="1:13" ht="25.5">
      <c r="A19" s="21">
        <v>18</v>
      </c>
      <c r="B19" s="21" t="s">
        <v>958</v>
      </c>
      <c r="C19" s="21" t="s">
        <v>1105</v>
      </c>
      <c r="D19" s="57" t="s">
        <v>1031</v>
      </c>
      <c r="E19" s="23" t="s">
        <v>714</v>
      </c>
      <c r="F19" s="21">
        <v>6</v>
      </c>
      <c r="G19" s="154">
        <v>8000</v>
      </c>
      <c r="H19" s="15">
        <f t="shared" si="4"/>
        <v>48000</v>
      </c>
      <c r="I19" s="124"/>
      <c r="J19" s="125"/>
      <c r="K19" s="119"/>
      <c r="M19" s="167">
        <f t="shared" si="2"/>
        <v>94.117647058823536</v>
      </c>
    </row>
    <row r="20" spans="1:13" ht="102">
      <c r="A20" s="21">
        <v>19</v>
      </c>
      <c r="B20" s="21" t="s">
        <v>959</v>
      </c>
      <c r="C20" s="21" t="s">
        <v>1106</v>
      </c>
      <c r="D20" s="57" t="s">
        <v>1032</v>
      </c>
      <c r="E20" s="23" t="s">
        <v>714</v>
      </c>
      <c r="F20" s="21">
        <v>10</v>
      </c>
      <c r="G20" s="154">
        <f t="shared" si="3"/>
        <v>20020</v>
      </c>
      <c r="H20" s="15">
        <f t="shared" si="4"/>
        <v>200200</v>
      </c>
      <c r="I20" s="124">
        <v>175</v>
      </c>
      <c r="J20" s="125" t="s">
        <v>1222</v>
      </c>
      <c r="K20" s="119"/>
      <c r="M20" s="167">
        <f t="shared" si="2"/>
        <v>235.52941176470588</v>
      </c>
    </row>
    <row r="21" spans="1:13" ht="63.75">
      <c r="A21" s="21">
        <v>20</v>
      </c>
      <c r="B21" s="21" t="s">
        <v>960</v>
      </c>
      <c r="C21" s="21" t="s">
        <v>1207</v>
      </c>
      <c r="D21" s="57" t="s">
        <v>1033</v>
      </c>
      <c r="E21" s="23" t="s">
        <v>714</v>
      </c>
      <c r="F21" s="21">
        <v>2</v>
      </c>
      <c r="G21" s="154">
        <f t="shared" si="3"/>
        <v>0</v>
      </c>
      <c r="H21" s="15">
        <f t="shared" si="4"/>
        <v>0</v>
      </c>
      <c r="I21" s="124"/>
      <c r="J21" s="125"/>
      <c r="K21" s="119"/>
      <c r="M21" s="167">
        <f t="shared" si="2"/>
        <v>0</v>
      </c>
    </row>
    <row r="22" spans="1:13" ht="76.5">
      <c r="A22" s="21">
        <v>21</v>
      </c>
      <c r="B22" s="21" t="s">
        <v>963</v>
      </c>
      <c r="C22" s="21" t="s">
        <v>1208</v>
      </c>
      <c r="D22" s="57" t="s">
        <v>1036</v>
      </c>
      <c r="E22" s="23" t="s">
        <v>714</v>
      </c>
      <c r="F22" s="21">
        <v>10</v>
      </c>
      <c r="G22" s="154">
        <f t="shared" si="3"/>
        <v>0</v>
      </c>
      <c r="H22" s="15">
        <f t="shared" si="4"/>
        <v>0</v>
      </c>
      <c r="I22" s="124"/>
      <c r="J22" s="125"/>
      <c r="K22" s="119"/>
      <c r="M22" s="167">
        <f t="shared" si="2"/>
        <v>0</v>
      </c>
    </row>
    <row r="23" spans="1:13" ht="89.25">
      <c r="A23" s="21">
        <v>22</v>
      </c>
      <c r="B23" s="21" t="s">
        <v>964</v>
      </c>
      <c r="C23" s="21" t="s">
        <v>1111</v>
      </c>
      <c r="D23" s="57" t="s">
        <v>1037</v>
      </c>
      <c r="E23" s="23" t="s">
        <v>714</v>
      </c>
      <c r="F23" s="21">
        <v>3</v>
      </c>
      <c r="G23" s="154">
        <f t="shared" si="3"/>
        <v>64636</v>
      </c>
      <c r="H23" s="15">
        <f t="shared" si="4"/>
        <v>193908</v>
      </c>
      <c r="I23" s="124">
        <f>J23</f>
        <v>565</v>
      </c>
      <c r="J23" s="125">
        <v>565</v>
      </c>
      <c r="K23" s="119"/>
      <c r="M23" s="167">
        <f t="shared" si="2"/>
        <v>760.42352941176466</v>
      </c>
    </row>
    <row r="24" spans="1:13" ht="89.25">
      <c r="A24" s="21">
        <v>23</v>
      </c>
      <c r="B24" s="21" t="s">
        <v>965</v>
      </c>
      <c r="C24" s="21" t="s">
        <v>1112</v>
      </c>
      <c r="D24" s="57" t="s">
        <v>1038</v>
      </c>
      <c r="E24" s="23" t="s">
        <v>714</v>
      </c>
      <c r="F24" s="21">
        <v>3</v>
      </c>
      <c r="G24" s="154">
        <f t="shared" si="3"/>
        <v>72415.199999999997</v>
      </c>
      <c r="H24" s="15">
        <f t="shared" si="4"/>
        <v>217245.59999999998</v>
      </c>
      <c r="I24" s="124">
        <f>J24</f>
        <v>633</v>
      </c>
      <c r="J24" s="125">
        <v>633</v>
      </c>
      <c r="K24" s="119"/>
      <c r="M24" s="167">
        <f t="shared" si="2"/>
        <v>851.94352941176464</v>
      </c>
    </row>
    <row r="25" spans="1:13" ht="51">
      <c r="A25" s="21">
        <v>24</v>
      </c>
      <c r="B25" s="21" t="s">
        <v>966</v>
      </c>
      <c r="C25" s="21" t="s">
        <v>1207</v>
      </c>
      <c r="D25" s="57" t="s">
        <v>1039</v>
      </c>
      <c r="E25" s="23" t="s">
        <v>714</v>
      </c>
      <c r="F25" s="21">
        <v>3</v>
      </c>
      <c r="G25" s="154">
        <f t="shared" si="3"/>
        <v>0</v>
      </c>
      <c r="H25" s="15">
        <f t="shared" si="4"/>
        <v>0</v>
      </c>
      <c r="I25" s="124"/>
      <c r="J25" s="125"/>
      <c r="K25" s="119"/>
      <c r="M25" s="167">
        <f t="shared" si="2"/>
        <v>0</v>
      </c>
    </row>
    <row r="26" spans="1:13" ht="114.75">
      <c r="A26" s="21">
        <v>25</v>
      </c>
      <c r="B26" s="21" t="s">
        <v>967</v>
      </c>
      <c r="C26" s="21" t="s">
        <v>1209</v>
      </c>
      <c r="D26" s="57" t="s">
        <v>1040</v>
      </c>
      <c r="E26" s="23" t="s">
        <v>714</v>
      </c>
      <c r="F26" s="21">
        <v>6</v>
      </c>
      <c r="G26" s="154">
        <f t="shared" si="3"/>
        <v>0</v>
      </c>
      <c r="H26" s="15">
        <f t="shared" si="4"/>
        <v>0</v>
      </c>
      <c r="I26" s="124"/>
      <c r="J26" s="125"/>
      <c r="K26" s="119"/>
      <c r="M26" s="167">
        <f t="shared" si="2"/>
        <v>0</v>
      </c>
    </row>
    <row r="27" spans="1:13" ht="38.25">
      <c r="A27" s="21">
        <v>26</v>
      </c>
      <c r="B27" s="21" t="s">
        <v>968</v>
      </c>
      <c r="C27" s="21" t="s">
        <v>1115</v>
      </c>
      <c r="D27" s="57" t="s">
        <v>1041</v>
      </c>
      <c r="E27" s="23" t="s">
        <v>714</v>
      </c>
      <c r="F27" s="21">
        <v>1</v>
      </c>
      <c r="G27" s="154">
        <f t="shared" si="3"/>
        <v>0</v>
      </c>
      <c r="H27" s="15">
        <f t="shared" si="4"/>
        <v>0</v>
      </c>
      <c r="I27" s="124"/>
      <c r="J27" s="125"/>
      <c r="K27" s="119"/>
      <c r="M27" s="167">
        <f t="shared" si="2"/>
        <v>0</v>
      </c>
    </row>
    <row r="28" spans="1:13" ht="76.5">
      <c r="A28" s="21">
        <v>27</v>
      </c>
      <c r="B28" s="21" t="s">
        <v>969</v>
      </c>
      <c r="C28" s="21" t="s">
        <v>1207</v>
      </c>
      <c r="D28" s="57" t="s">
        <v>1042</v>
      </c>
      <c r="E28" s="23" t="s">
        <v>714</v>
      </c>
      <c r="F28" s="21">
        <v>3</v>
      </c>
      <c r="G28" s="154">
        <f t="shared" si="3"/>
        <v>32604</v>
      </c>
      <c r="H28" s="15">
        <f t="shared" si="4"/>
        <v>97812</v>
      </c>
      <c r="I28" s="124">
        <f>J28</f>
        <v>285</v>
      </c>
      <c r="J28" s="125">
        <v>285</v>
      </c>
      <c r="K28" s="119"/>
      <c r="M28" s="167">
        <f t="shared" si="2"/>
        <v>383.57647058823528</v>
      </c>
    </row>
    <row r="29" spans="1:13" ht="38.25">
      <c r="A29" s="21">
        <v>28</v>
      </c>
      <c r="B29" s="21" t="s">
        <v>975</v>
      </c>
      <c r="C29" s="21" t="s">
        <v>1122</v>
      </c>
      <c r="D29" s="57" t="s">
        <v>1048</v>
      </c>
      <c r="E29" s="23" t="s">
        <v>714</v>
      </c>
      <c r="F29" s="21">
        <v>4</v>
      </c>
      <c r="G29" s="154">
        <f t="shared" si="3"/>
        <v>0</v>
      </c>
      <c r="H29" s="15">
        <f t="shared" si="4"/>
        <v>0</v>
      </c>
      <c r="I29" s="124"/>
      <c r="J29" s="125"/>
      <c r="K29" s="119"/>
      <c r="M29" s="167">
        <f t="shared" si="2"/>
        <v>0</v>
      </c>
    </row>
    <row r="30" spans="1:13" ht="63.75">
      <c r="A30" s="21">
        <v>29</v>
      </c>
      <c r="B30" s="21" t="s">
        <v>976</v>
      </c>
      <c r="C30" s="21" t="s">
        <v>1210</v>
      </c>
      <c r="D30" s="57" t="s">
        <v>1049</v>
      </c>
      <c r="E30" s="23" t="s">
        <v>714</v>
      </c>
      <c r="F30" s="21">
        <v>2</v>
      </c>
      <c r="G30" s="154">
        <f t="shared" si="3"/>
        <v>0</v>
      </c>
      <c r="H30" s="15">
        <f t="shared" si="4"/>
        <v>0</v>
      </c>
      <c r="I30" s="124"/>
      <c r="J30" s="125"/>
      <c r="K30" s="119"/>
      <c r="M30" s="167">
        <f t="shared" si="2"/>
        <v>0</v>
      </c>
    </row>
    <row r="31" spans="1:13" ht="89.25">
      <c r="A31" s="21">
        <v>30</v>
      </c>
      <c r="B31" s="21" t="s">
        <v>977</v>
      </c>
      <c r="C31" s="21" t="s">
        <v>1211</v>
      </c>
      <c r="D31" s="57" t="s">
        <v>1050</v>
      </c>
      <c r="E31" s="23" t="s">
        <v>714</v>
      </c>
      <c r="F31" s="21">
        <v>6</v>
      </c>
      <c r="G31" s="154">
        <f t="shared" si="3"/>
        <v>0</v>
      </c>
      <c r="H31" s="15">
        <f t="shared" si="4"/>
        <v>0</v>
      </c>
      <c r="I31" s="124"/>
      <c r="J31" s="125"/>
      <c r="K31" s="119"/>
      <c r="M31" s="167">
        <f t="shared" si="2"/>
        <v>0</v>
      </c>
    </row>
    <row r="32" spans="1:13" ht="76.5">
      <c r="A32" s="21">
        <v>31</v>
      </c>
      <c r="B32" s="21" t="s">
        <v>978</v>
      </c>
      <c r="C32" s="21" t="s">
        <v>1209</v>
      </c>
      <c r="D32" s="57" t="s">
        <v>1051</v>
      </c>
      <c r="E32" s="23" t="s">
        <v>714</v>
      </c>
      <c r="F32" s="21">
        <v>10</v>
      </c>
      <c r="G32" s="154">
        <f t="shared" si="3"/>
        <v>0</v>
      </c>
      <c r="H32" s="15">
        <f t="shared" si="4"/>
        <v>0</v>
      </c>
      <c r="I32" s="124"/>
      <c r="J32" s="125"/>
      <c r="K32" s="119"/>
      <c r="M32" s="167">
        <f t="shared" si="2"/>
        <v>0</v>
      </c>
    </row>
    <row r="33" spans="1:13" ht="89.25">
      <c r="A33" s="21">
        <v>32</v>
      </c>
      <c r="B33" s="21" t="s">
        <v>979</v>
      </c>
      <c r="C33" s="21" t="s">
        <v>1126</v>
      </c>
      <c r="D33" s="57" t="s">
        <v>1052</v>
      </c>
      <c r="E33" s="23" t="s">
        <v>714</v>
      </c>
      <c r="F33" s="21">
        <v>2</v>
      </c>
      <c r="G33" s="154">
        <f t="shared" si="3"/>
        <v>35235.200000000004</v>
      </c>
      <c r="H33" s="15">
        <f t="shared" si="4"/>
        <v>70470.400000000009</v>
      </c>
      <c r="I33" s="124">
        <f>J33</f>
        <v>308</v>
      </c>
      <c r="J33" s="125">
        <v>308</v>
      </c>
      <c r="K33" s="119"/>
      <c r="M33" s="167">
        <f t="shared" si="2"/>
        <v>414.53176470588238</v>
      </c>
    </row>
    <row r="34" spans="1:13" ht="38.25">
      <c r="A34" s="21">
        <v>33</v>
      </c>
      <c r="B34" s="21" t="s">
        <v>980</v>
      </c>
      <c r="C34" s="21" t="s">
        <v>1212</v>
      </c>
      <c r="D34" s="57" t="s">
        <v>1053</v>
      </c>
      <c r="E34" s="23" t="s">
        <v>714</v>
      </c>
      <c r="F34" s="21">
        <v>8</v>
      </c>
      <c r="G34" s="154">
        <f t="shared" si="3"/>
        <v>10296</v>
      </c>
      <c r="H34" s="15">
        <f t="shared" si="4"/>
        <v>82368</v>
      </c>
      <c r="I34" s="124">
        <v>90</v>
      </c>
      <c r="J34" s="125">
        <v>225</v>
      </c>
      <c r="K34" s="163">
        <f>620/7.2</f>
        <v>86.111111111111114</v>
      </c>
      <c r="M34" s="167">
        <f t="shared" si="2"/>
        <v>121.12941176470588</v>
      </c>
    </row>
    <row r="35" spans="1:13" ht="63.75">
      <c r="A35" s="21">
        <v>34</v>
      </c>
      <c r="B35" s="21" t="s">
        <v>981</v>
      </c>
      <c r="C35" s="21" t="s">
        <v>1206</v>
      </c>
      <c r="D35" s="57" t="s">
        <v>1054</v>
      </c>
      <c r="E35" s="23" t="s">
        <v>714</v>
      </c>
      <c r="F35" s="21">
        <v>2</v>
      </c>
      <c r="G35" s="154">
        <f t="shared" si="3"/>
        <v>22880</v>
      </c>
      <c r="H35" s="15">
        <f t="shared" si="4"/>
        <v>45760</v>
      </c>
      <c r="I35" s="124">
        <v>200</v>
      </c>
      <c r="J35" s="411">
        <v>595</v>
      </c>
      <c r="K35" s="119"/>
      <c r="M35" s="167">
        <f t="shared" si="2"/>
        <v>269.1764705882353</v>
      </c>
    </row>
    <row r="36" spans="1:13" ht="63.75">
      <c r="A36" s="21">
        <v>35</v>
      </c>
      <c r="B36" s="21" t="s">
        <v>982</v>
      </c>
      <c r="C36" s="21" t="s">
        <v>1207</v>
      </c>
      <c r="D36" s="57" t="s">
        <v>1055</v>
      </c>
      <c r="E36" s="23" t="s">
        <v>714</v>
      </c>
      <c r="F36" s="21">
        <v>2</v>
      </c>
      <c r="G36" s="154">
        <f t="shared" si="3"/>
        <v>22880</v>
      </c>
      <c r="H36" s="15">
        <f t="shared" si="4"/>
        <v>45760</v>
      </c>
      <c r="I36" s="124">
        <v>200</v>
      </c>
      <c r="J36" s="412"/>
      <c r="K36" s="119"/>
      <c r="M36" s="167">
        <f t="shared" si="2"/>
        <v>269.1764705882353</v>
      </c>
    </row>
    <row r="37" spans="1:13" ht="76.5">
      <c r="A37" s="21">
        <v>36</v>
      </c>
      <c r="B37" s="21" t="s">
        <v>983</v>
      </c>
      <c r="C37" s="21" t="s">
        <v>1213</v>
      </c>
      <c r="D37" s="57" t="s">
        <v>1056</v>
      </c>
      <c r="E37" s="23" t="s">
        <v>714</v>
      </c>
      <c r="F37" s="21">
        <v>2</v>
      </c>
      <c r="G37" s="154">
        <f t="shared" si="3"/>
        <v>22880</v>
      </c>
      <c r="H37" s="15">
        <f t="shared" si="4"/>
        <v>45760</v>
      </c>
      <c r="I37" s="124">
        <v>200</v>
      </c>
      <c r="J37" s="413"/>
      <c r="K37" s="119"/>
      <c r="M37" s="167">
        <f t="shared" si="2"/>
        <v>269.1764705882353</v>
      </c>
    </row>
    <row r="38" spans="1:13" ht="63.75">
      <c r="A38" s="21">
        <v>37</v>
      </c>
      <c r="B38" s="21" t="s">
        <v>984</v>
      </c>
      <c r="C38" s="21" t="s">
        <v>1214</v>
      </c>
      <c r="D38" s="57" t="s">
        <v>1057</v>
      </c>
      <c r="E38" s="23" t="s">
        <v>714</v>
      </c>
      <c r="F38" s="21">
        <v>3</v>
      </c>
      <c r="G38" s="154">
        <f t="shared" si="3"/>
        <v>0</v>
      </c>
      <c r="H38" s="15">
        <f t="shared" si="4"/>
        <v>0</v>
      </c>
      <c r="I38" s="124"/>
      <c r="J38" s="125"/>
      <c r="K38" s="119"/>
      <c r="M38" s="167">
        <f t="shared" si="2"/>
        <v>0</v>
      </c>
    </row>
    <row r="39" spans="1:13" ht="63.75">
      <c r="A39" s="21">
        <v>38</v>
      </c>
      <c r="B39" s="21" t="s">
        <v>985</v>
      </c>
      <c r="C39" s="21" t="s">
        <v>1214</v>
      </c>
      <c r="D39" s="57" t="s">
        <v>1058</v>
      </c>
      <c r="E39" s="23" t="s">
        <v>714</v>
      </c>
      <c r="F39" s="21">
        <v>2</v>
      </c>
      <c r="G39" s="154">
        <f t="shared" si="3"/>
        <v>0</v>
      </c>
      <c r="H39" s="15">
        <f t="shared" si="4"/>
        <v>0</v>
      </c>
      <c r="I39" s="124"/>
      <c r="J39" s="125"/>
      <c r="K39" s="119"/>
      <c r="M39" s="167">
        <f t="shared" si="2"/>
        <v>0</v>
      </c>
    </row>
    <row r="40" spans="1:13" ht="114.75">
      <c r="A40" s="21">
        <v>39</v>
      </c>
      <c r="B40" s="21" t="s">
        <v>986</v>
      </c>
      <c r="C40" s="21" t="s">
        <v>1133</v>
      </c>
      <c r="D40" s="57" t="s">
        <v>1059</v>
      </c>
      <c r="E40" s="23" t="s">
        <v>709</v>
      </c>
      <c r="F40" s="21">
        <v>2</v>
      </c>
      <c r="G40" s="154">
        <f t="shared" si="3"/>
        <v>5148</v>
      </c>
      <c r="H40" s="15">
        <f t="shared" si="4"/>
        <v>10296</v>
      </c>
      <c r="I40" s="124">
        <f>J40</f>
        <v>45</v>
      </c>
      <c r="J40" s="125">
        <v>45</v>
      </c>
      <c r="K40" s="119"/>
      <c r="M40" s="167">
        <f t="shared" si="2"/>
        <v>60.564705882352939</v>
      </c>
    </row>
    <row r="41" spans="1:13" ht="140.25">
      <c r="A41" s="21">
        <v>40</v>
      </c>
      <c r="B41" s="21" t="s">
        <v>987</v>
      </c>
      <c r="C41" s="21" t="s">
        <v>1134</v>
      </c>
      <c r="D41" s="57" t="s">
        <v>1060</v>
      </c>
      <c r="E41" s="23" t="s">
        <v>709</v>
      </c>
      <c r="F41" s="21">
        <v>2</v>
      </c>
      <c r="G41" s="154">
        <f t="shared" si="3"/>
        <v>3432</v>
      </c>
      <c r="H41" s="15">
        <f t="shared" si="4"/>
        <v>6864</v>
      </c>
      <c r="I41" s="124">
        <f>J41</f>
        <v>30</v>
      </c>
      <c r="J41" s="125">
        <v>30</v>
      </c>
      <c r="K41" s="119"/>
      <c r="M41" s="167">
        <f t="shared" si="2"/>
        <v>40.376470588235293</v>
      </c>
    </row>
    <row r="42" spans="1:13" ht="140.25">
      <c r="A42" s="21">
        <v>41</v>
      </c>
      <c r="B42" s="21" t="s">
        <v>988</v>
      </c>
      <c r="C42" s="21" t="s">
        <v>1135</v>
      </c>
      <c r="D42" s="57" t="s">
        <v>1061</v>
      </c>
      <c r="E42" s="23" t="s">
        <v>709</v>
      </c>
      <c r="F42" s="21">
        <v>2</v>
      </c>
      <c r="G42" s="154">
        <f t="shared" si="3"/>
        <v>3432</v>
      </c>
      <c r="H42" s="15">
        <f t="shared" si="4"/>
        <v>6864</v>
      </c>
      <c r="I42" s="124">
        <f>J42</f>
        <v>30</v>
      </c>
      <c r="J42" s="125">
        <v>30</v>
      </c>
      <c r="K42" s="119"/>
      <c r="M42" s="167">
        <f t="shared" si="2"/>
        <v>40.376470588235293</v>
      </c>
    </row>
    <row r="43" spans="1:13" ht="127.5">
      <c r="A43" s="21">
        <v>42</v>
      </c>
      <c r="B43" s="21" t="s">
        <v>989</v>
      </c>
      <c r="C43" s="21" t="s">
        <v>1136</v>
      </c>
      <c r="D43" s="57" t="s">
        <v>1062</v>
      </c>
      <c r="E43" s="23" t="s">
        <v>709</v>
      </c>
      <c r="F43" s="21">
        <v>2</v>
      </c>
      <c r="G43" s="154">
        <f t="shared" si="3"/>
        <v>3432</v>
      </c>
      <c r="H43" s="15">
        <f t="shared" si="4"/>
        <v>6864</v>
      </c>
      <c r="I43" s="124">
        <f>J43</f>
        <v>30</v>
      </c>
      <c r="J43" s="125">
        <v>30</v>
      </c>
      <c r="K43" s="119"/>
      <c r="M43" s="167">
        <f t="shared" si="2"/>
        <v>40.376470588235293</v>
      </c>
    </row>
    <row r="44" spans="1:13" ht="140.25">
      <c r="A44" s="21">
        <v>43</v>
      </c>
      <c r="B44" s="21" t="s">
        <v>990</v>
      </c>
      <c r="C44" s="21" t="s">
        <v>1137</v>
      </c>
      <c r="D44" s="57" t="s">
        <v>1063</v>
      </c>
      <c r="E44" s="23" t="s">
        <v>709</v>
      </c>
      <c r="F44" s="21">
        <v>2</v>
      </c>
      <c r="G44" s="154">
        <f t="shared" si="3"/>
        <v>7436</v>
      </c>
      <c r="H44" s="15">
        <f t="shared" si="4"/>
        <v>14872</v>
      </c>
      <c r="I44" s="124">
        <f>J44</f>
        <v>65</v>
      </c>
      <c r="J44" s="125">
        <v>65</v>
      </c>
      <c r="K44" s="119"/>
      <c r="M44" s="167">
        <f t="shared" si="2"/>
        <v>87.482352941176472</v>
      </c>
    </row>
    <row r="45" spans="1:13" ht="63.75">
      <c r="A45" s="21">
        <v>44</v>
      </c>
      <c r="B45" s="21" t="s">
        <v>991</v>
      </c>
      <c r="C45" s="21" t="s">
        <v>1211</v>
      </c>
      <c r="D45" s="57" t="s">
        <v>1064</v>
      </c>
      <c r="E45" s="23" t="s">
        <v>714</v>
      </c>
      <c r="F45" s="21">
        <v>2</v>
      </c>
      <c r="G45" s="154">
        <f t="shared" si="3"/>
        <v>0</v>
      </c>
      <c r="H45" s="15">
        <f t="shared" si="4"/>
        <v>0</v>
      </c>
      <c r="I45" s="124"/>
      <c r="J45" s="125"/>
      <c r="K45" s="119"/>
      <c r="M45" s="167">
        <f t="shared" si="2"/>
        <v>0</v>
      </c>
    </row>
    <row r="46" spans="1:13" ht="51">
      <c r="A46" s="21">
        <v>45</v>
      </c>
      <c r="B46" s="21" t="s">
        <v>993</v>
      </c>
      <c r="C46" s="21" t="s">
        <v>1215</v>
      </c>
      <c r="D46" s="57" t="s">
        <v>1066</v>
      </c>
      <c r="E46" s="23" t="s">
        <v>714</v>
      </c>
      <c r="F46" s="21">
        <v>2</v>
      </c>
      <c r="G46" s="154">
        <f t="shared" si="3"/>
        <v>25740</v>
      </c>
      <c r="H46" s="15">
        <f t="shared" si="4"/>
        <v>51480</v>
      </c>
      <c r="I46" s="124">
        <v>225</v>
      </c>
      <c r="J46" s="125">
        <v>168</v>
      </c>
      <c r="K46" s="163">
        <f>1261/7.2</f>
        <v>175.13888888888889</v>
      </c>
      <c r="M46" s="167">
        <f t="shared" si="2"/>
        <v>302.8235294117647</v>
      </c>
    </row>
    <row r="47" spans="1:13" ht="102">
      <c r="A47" s="21">
        <v>46</v>
      </c>
      <c r="B47" s="21" t="s">
        <v>994</v>
      </c>
      <c r="C47" s="21" t="s">
        <v>1141</v>
      </c>
      <c r="D47" s="57" t="s">
        <v>1067</v>
      </c>
      <c r="E47" s="23" t="s">
        <v>714</v>
      </c>
      <c r="F47" s="21">
        <v>4</v>
      </c>
      <c r="G47" s="154">
        <f t="shared" si="3"/>
        <v>4347.2</v>
      </c>
      <c r="H47" s="15">
        <f t="shared" si="4"/>
        <v>17388.8</v>
      </c>
      <c r="I47" s="124">
        <f>J47</f>
        <v>38</v>
      </c>
      <c r="J47" s="125">
        <v>38</v>
      </c>
      <c r="K47" s="119"/>
      <c r="M47" s="167">
        <f t="shared" si="2"/>
        <v>51.143529411764703</v>
      </c>
    </row>
    <row r="48" spans="1:13" ht="63.75">
      <c r="A48" s="21">
        <v>47</v>
      </c>
      <c r="B48" s="21" t="s">
        <v>1216</v>
      </c>
      <c r="C48" s="21" t="s">
        <v>1217</v>
      </c>
      <c r="D48" s="57" t="s">
        <v>1218</v>
      </c>
      <c r="E48" s="23" t="s">
        <v>709</v>
      </c>
      <c r="F48" s="21">
        <v>1</v>
      </c>
      <c r="G48" s="154">
        <f t="shared" si="3"/>
        <v>0</v>
      </c>
      <c r="H48" s="15">
        <f t="shared" si="4"/>
        <v>0</v>
      </c>
      <c r="I48" s="124"/>
      <c r="J48" s="125"/>
      <c r="K48" s="119"/>
      <c r="M48" s="167">
        <f t="shared" si="2"/>
        <v>0</v>
      </c>
    </row>
    <row r="49" spans="1:13" ht="63.75">
      <c r="A49" s="21">
        <v>48</v>
      </c>
      <c r="B49" s="21" t="s">
        <v>1219</v>
      </c>
      <c r="C49" s="21" t="s">
        <v>1220</v>
      </c>
      <c r="D49" s="57" t="s">
        <v>1221</v>
      </c>
      <c r="E49" s="23" t="s">
        <v>709</v>
      </c>
      <c r="F49" s="21">
        <v>2</v>
      </c>
      <c r="G49" s="154">
        <f t="shared" si="3"/>
        <v>0</v>
      </c>
      <c r="H49" s="15">
        <f t="shared" si="4"/>
        <v>0</v>
      </c>
      <c r="I49" s="124"/>
      <c r="J49" s="125"/>
      <c r="K49" s="119"/>
      <c r="M49" s="167">
        <f t="shared" si="2"/>
        <v>0</v>
      </c>
    </row>
    <row r="50" spans="1:13">
      <c r="A50" s="21">
        <v>49</v>
      </c>
      <c r="B50" s="397" t="s">
        <v>76</v>
      </c>
      <c r="C50" s="397"/>
      <c r="D50" s="397"/>
      <c r="E50" s="397"/>
      <c r="F50" s="397"/>
      <c r="G50" s="397"/>
      <c r="H50" s="162">
        <f>SUM(H2:H49)</f>
        <v>3168487.1999999997</v>
      </c>
      <c r="K50" s="119"/>
    </row>
    <row r="51" spans="1:13">
      <c r="A51" s="21">
        <v>50</v>
      </c>
      <c r="B51" s="397" t="s">
        <v>1193</v>
      </c>
      <c r="C51" s="397"/>
      <c r="D51" s="397"/>
      <c r="E51" s="397"/>
      <c r="F51" s="397"/>
      <c r="G51" s="397"/>
      <c r="H51" s="162">
        <f>H50*0.18</f>
        <v>570327.69599999988</v>
      </c>
      <c r="K51" s="119"/>
    </row>
    <row r="52" spans="1:13">
      <c r="A52" s="21">
        <v>51</v>
      </c>
      <c r="B52" s="397" t="s">
        <v>742</v>
      </c>
      <c r="C52" s="397"/>
      <c r="D52" s="397"/>
      <c r="E52" s="397"/>
      <c r="F52" s="397"/>
      <c r="G52" s="397"/>
      <c r="H52" s="162">
        <f>SUM(H50:H51)</f>
        <v>3738814.8959999997</v>
      </c>
      <c r="K52" s="119"/>
    </row>
    <row r="53" spans="1:13">
      <c r="A53" s="398"/>
      <c r="B53" s="399"/>
      <c r="C53" s="399"/>
      <c r="D53" s="399"/>
      <c r="E53" s="399"/>
      <c r="F53" s="399"/>
      <c r="G53" s="399"/>
      <c r="H53" s="400"/>
    </row>
    <row r="54" spans="1:13" ht="180.95" customHeight="1">
      <c r="A54" s="128" t="s">
        <v>80</v>
      </c>
      <c r="B54" s="360" t="s">
        <v>788</v>
      </c>
      <c r="C54" s="360"/>
      <c r="D54" s="360"/>
      <c r="E54" s="360"/>
      <c r="F54" s="360"/>
      <c r="G54" s="360"/>
      <c r="H54" s="361"/>
    </row>
  </sheetData>
  <mergeCells count="6">
    <mergeCell ref="B54:H54"/>
    <mergeCell ref="J35:J37"/>
    <mergeCell ref="B50:G50"/>
    <mergeCell ref="B51:G51"/>
    <mergeCell ref="B52:G52"/>
    <mergeCell ref="A53:H53"/>
  </mergeCells>
  <printOptions horizontalCentered="1"/>
  <pageMargins left="0.31496062992125984" right="0.31496062992125984" top="0.55118110236220474" bottom="0.55118110236220474" header="0.31496062992125984" footer="0.31496062992125984"/>
  <pageSetup orientation="landscape" horizontalDpi="4294967292" r:id="rId1"/>
  <headerFooter>
    <oddFooter>Page &amp;P of &amp;N</oddFoot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Sheet70"/>
  <dimension ref="A1:M19"/>
  <sheetViews>
    <sheetView topLeftCell="A7" zoomScaleNormal="100" workbookViewId="0">
      <selection activeCell="V8" sqref="V8"/>
    </sheetView>
  </sheetViews>
  <sheetFormatPr defaultColWidth="9.140625" defaultRowHeight="12.75"/>
  <cols>
    <col min="1" max="1" width="5.85546875" style="119" bestFit="1" customWidth="1"/>
    <col min="2" max="2" width="12.5703125" style="119" customWidth="1"/>
    <col min="3" max="3" width="17.42578125" style="119" bestFit="1" customWidth="1"/>
    <col min="4" max="4" width="61.85546875" style="119" customWidth="1"/>
    <col min="5" max="5" width="6.28515625" style="119" bestFit="1" customWidth="1"/>
    <col min="6" max="6" width="5" style="119" bestFit="1" customWidth="1"/>
    <col min="7" max="7" width="15.140625" style="119" bestFit="1" customWidth="1"/>
    <col min="8" max="8" width="15.42578125" style="119" customWidth="1"/>
    <col min="9" max="9" width="10.5703125" style="119" bestFit="1" customWidth="1"/>
    <col min="10" max="10" width="11.42578125" style="127" bestFit="1" customWidth="1"/>
    <col min="11" max="11" width="9.42578125" style="163" bestFit="1" customWidth="1"/>
    <col min="12" max="16384" width="9.140625" style="119"/>
  </cols>
  <sheetData>
    <row r="1" spans="1:13" ht="25.5">
      <c r="A1" s="152" t="s">
        <v>0</v>
      </c>
      <c r="B1" s="152" t="s">
        <v>1</v>
      </c>
      <c r="C1" s="117" t="s">
        <v>778</v>
      </c>
      <c r="D1" s="117" t="s">
        <v>67</v>
      </c>
      <c r="E1" s="117" t="s">
        <v>68</v>
      </c>
      <c r="F1" s="117" t="s">
        <v>3</v>
      </c>
      <c r="G1" s="152" t="s">
        <v>69</v>
      </c>
      <c r="H1" s="152" t="s">
        <v>527</v>
      </c>
      <c r="J1" s="120" t="s">
        <v>145</v>
      </c>
      <c r="K1" s="163" t="s">
        <v>1249</v>
      </c>
    </row>
    <row r="2" spans="1:13" ht="51">
      <c r="A2" s="21">
        <v>1</v>
      </c>
      <c r="B2" s="21" t="s">
        <v>1223</v>
      </c>
      <c r="C2" s="21" t="s">
        <v>1224</v>
      </c>
      <c r="D2" s="57" t="s">
        <v>1225</v>
      </c>
      <c r="E2" s="23">
        <v>2</v>
      </c>
      <c r="F2" s="21" t="s">
        <v>1243</v>
      </c>
      <c r="G2" s="154">
        <f>I2*88*1.3</f>
        <v>64052.560000000019</v>
      </c>
      <c r="H2" s="15">
        <f>G2*E2</f>
        <v>128105.12000000004</v>
      </c>
      <c r="I2" s="124">
        <f>K2</f>
        <v>559.90000000000009</v>
      </c>
      <c r="J2" s="125"/>
      <c r="K2" s="119">
        <f>509*1.1</f>
        <v>559.90000000000009</v>
      </c>
      <c r="M2" s="167">
        <f>G2/82</f>
        <v>781.1287804878051</v>
      </c>
    </row>
    <row r="3" spans="1:13" ht="25.5">
      <c r="A3" s="21">
        <v>2</v>
      </c>
      <c r="B3" s="21" t="s">
        <v>1226</v>
      </c>
      <c r="C3" s="21" t="s">
        <v>1227</v>
      </c>
      <c r="D3" s="57" t="s">
        <v>1228</v>
      </c>
      <c r="E3" s="23">
        <v>3</v>
      </c>
      <c r="F3" s="21" t="s">
        <v>1243</v>
      </c>
      <c r="G3" s="154">
        <f t="shared" ref="G3:G14" si="0">I3*88*1.3</f>
        <v>34320</v>
      </c>
      <c r="H3" s="15">
        <f t="shared" ref="H3:H14" si="1">G3*E3</f>
        <v>102960</v>
      </c>
      <c r="I3" s="124">
        <v>300</v>
      </c>
      <c r="J3" s="125"/>
      <c r="K3" s="119"/>
      <c r="M3" s="167">
        <f t="shared" ref="M3:M14" si="2">G3/82</f>
        <v>418.53658536585368</v>
      </c>
    </row>
    <row r="4" spans="1:13" ht="25.5">
      <c r="A4" s="21">
        <v>3</v>
      </c>
      <c r="B4" s="21" t="s">
        <v>1229</v>
      </c>
      <c r="C4" s="21" t="s">
        <v>1230</v>
      </c>
      <c r="D4" s="57" t="s">
        <v>1231</v>
      </c>
      <c r="E4" s="23">
        <v>2</v>
      </c>
      <c r="F4" s="21" t="s">
        <v>1243</v>
      </c>
      <c r="G4" s="154">
        <f t="shared" si="0"/>
        <v>43666.48000000001</v>
      </c>
      <c r="H4" s="15">
        <f t="shared" si="1"/>
        <v>87332.960000000021</v>
      </c>
      <c r="I4" s="124">
        <f>K4</f>
        <v>381.70000000000005</v>
      </c>
      <c r="J4" s="125"/>
      <c r="K4" s="119">
        <f>347*1.1</f>
        <v>381.70000000000005</v>
      </c>
      <c r="M4" s="167">
        <f t="shared" si="2"/>
        <v>532.5180487804879</v>
      </c>
    </row>
    <row r="5" spans="1:13" ht="51">
      <c r="A5" s="21">
        <v>4</v>
      </c>
      <c r="B5" s="21" t="s">
        <v>951</v>
      </c>
      <c r="C5" s="21" t="s">
        <v>1203</v>
      </c>
      <c r="D5" s="57" t="s">
        <v>1024</v>
      </c>
      <c r="E5" s="23">
        <v>2</v>
      </c>
      <c r="F5" s="21" t="s">
        <v>1243</v>
      </c>
      <c r="G5" s="154">
        <f t="shared" si="0"/>
        <v>0</v>
      </c>
      <c r="H5" s="15">
        <f t="shared" si="1"/>
        <v>0</v>
      </c>
      <c r="I5" s="124"/>
      <c r="J5" s="125"/>
      <c r="K5" s="119"/>
      <c r="M5" s="167">
        <f t="shared" si="2"/>
        <v>0</v>
      </c>
    </row>
    <row r="6" spans="1:13" ht="38.25">
      <c r="A6" s="21">
        <v>5</v>
      </c>
      <c r="B6" s="21" t="s">
        <v>941</v>
      </c>
      <c r="C6" s="21" t="s">
        <v>1247</v>
      </c>
      <c r="D6" s="57" t="s">
        <v>1014</v>
      </c>
      <c r="E6" s="23">
        <v>2</v>
      </c>
      <c r="F6" s="21" t="s">
        <v>1243</v>
      </c>
      <c r="G6" s="154">
        <f t="shared" si="0"/>
        <v>0</v>
      </c>
      <c r="H6" s="15">
        <f t="shared" si="1"/>
        <v>0</v>
      </c>
      <c r="I6" s="124"/>
      <c r="J6" s="125"/>
      <c r="K6" s="119"/>
      <c r="M6" s="167">
        <f t="shared" si="2"/>
        <v>0</v>
      </c>
    </row>
    <row r="7" spans="1:13" ht="38.25">
      <c r="A7" s="21">
        <v>6</v>
      </c>
      <c r="B7" s="21" t="s">
        <v>940</v>
      </c>
      <c r="C7" s="21" t="s">
        <v>1248</v>
      </c>
      <c r="D7" s="57" t="s">
        <v>1013</v>
      </c>
      <c r="E7" s="23">
        <v>2</v>
      </c>
      <c r="F7" s="21" t="s">
        <v>1243</v>
      </c>
      <c r="G7" s="154">
        <f t="shared" si="0"/>
        <v>0</v>
      </c>
      <c r="H7" s="15">
        <f t="shared" si="1"/>
        <v>0</v>
      </c>
      <c r="I7" s="124"/>
      <c r="J7" s="125"/>
      <c r="K7" s="119"/>
      <c r="M7" s="167">
        <f t="shared" si="2"/>
        <v>0</v>
      </c>
    </row>
    <row r="8" spans="1:13" ht="38.25">
      <c r="A8" s="21">
        <v>7</v>
      </c>
      <c r="B8" s="21" t="s">
        <v>1232</v>
      </c>
      <c r="C8" s="21" t="s">
        <v>1244</v>
      </c>
      <c r="D8" s="57" t="s">
        <v>1233</v>
      </c>
      <c r="E8" s="23">
        <v>4</v>
      </c>
      <c r="F8" s="21" t="s">
        <v>1243</v>
      </c>
      <c r="G8" s="154">
        <v>15000</v>
      </c>
      <c r="H8" s="15">
        <f t="shared" si="1"/>
        <v>60000</v>
      </c>
      <c r="I8" s="124"/>
      <c r="J8" s="125"/>
      <c r="K8" s="119"/>
      <c r="M8" s="167">
        <f t="shared" si="2"/>
        <v>182.92682926829269</v>
      </c>
    </row>
    <row r="9" spans="1:13" ht="38.25">
      <c r="A9" s="21">
        <v>8</v>
      </c>
      <c r="B9" s="21" t="s">
        <v>1234</v>
      </c>
      <c r="C9" s="21" t="s">
        <v>1245</v>
      </c>
      <c r="D9" s="57" t="s">
        <v>1235</v>
      </c>
      <c r="E9" s="23">
        <v>3</v>
      </c>
      <c r="F9" s="21" t="s">
        <v>1243</v>
      </c>
      <c r="G9" s="154">
        <v>12500</v>
      </c>
      <c r="H9" s="15">
        <f t="shared" si="1"/>
        <v>37500</v>
      </c>
      <c r="I9" s="124"/>
      <c r="J9" s="125"/>
      <c r="K9" s="119"/>
      <c r="M9" s="167">
        <f t="shared" si="2"/>
        <v>152.4390243902439</v>
      </c>
    </row>
    <row r="10" spans="1:13" ht="51">
      <c r="A10" s="21">
        <v>9</v>
      </c>
      <c r="B10" s="21" t="s">
        <v>1236</v>
      </c>
      <c r="C10" s="21" t="s">
        <v>1198</v>
      </c>
      <c r="D10" s="57" t="s">
        <v>1237</v>
      </c>
      <c r="E10" s="23">
        <v>2</v>
      </c>
      <c r="F10" s="21" t="s">
        <v>1243</v>
      </c>
      <c r="G10" s="154">
        <f t="shared" si="0"/>
        <v>0</v>
      </c>
      <c r="H10" s="15">
        <f t="shared" si="1"/>
        <v>0</v>
      </c>
      <c r="I10" s="124"/>
      <c r="J10" s="125"/>
      <c r="M10" s="167">
        <f t="shared" si="2"/>
        <v>0</v>
      </c>
    </row>
    <row r="11" spans="1:13" ht="63.75">
      <c r="A11" s="21">
        <v>10</v>
      </c>
      <c r="B11" s="21" t="s">
        <v>1238</v>
      </c>
      <c r="C11" s="21" t="s">
        <v>1239</v>
      </c>
      <c r="D11" s="57" t="s">
        <v>1240</v>
      </c>
      <c r="E11" s="23">
        <v>1</v>
      </c>
      <c r="F11" s="21" t="s">
        <v>1243</v>
      </c>
      <c r="G11" s="154">
        <f t="shared" si="0"/>
        <v>0</v>
      </c>
      <c r="H11" s="15">
        <f t="shared" si="1"/>
        <v>0</v>
      </c>
      <c r="I11" s="124"/>
      <c r="J11" s="125"/>
      <c r="K11" s="119"/>
      <c r="M11" s="167">
        <f t="shared" si="2"/>
        <v>0</v>
      </c>
    </row>
    <row r="12" spans="1:13" ht="25.5">
      <c r="A12" s="21">
        <v>11</v>
      </c>
      <c r="B12" s="21" t="s">
        <v>1241</v>
      </c>
      <c r="C12" s="21" t="s">
        <v>1246</v>
      </c>
      <c r="D12" s="57" t="s">
        <v>1242</v>
      </c>
      <c r="E12" s="23">
        <v>12</v>
      </c>
      <c r="F12" s="21" t="s">
        <v>1243</v>
      </c>
      <c r="G12" s="154">
        <v>8000</v>
      </c>
      <c r="H12" s="15">
        <f t="shared" si="1"/>
        <v>96000</v>
      </c>
      <c r="I12" s="124" t="s">
        <v>72</v>
      </c>
      <c r="J12" s="125"/>
      <c r="K12" s="119"/>
      <c r="M12" s="167">
        <f t="shared" si="2"/>
        <v>97.560975609756099</v>
      </c>
    </row>
    <row r="13" spans="1:13" ht="38.25">
      <c r="A13" s="21">
        <v>12</v>
      </c>
      <c r="B13" s="21" t="s">
        <v>946</v>
      </c>
      <c r="C13" s="21" t="s">
        <v>1202</v>
      </c>
      <c r="D13" s="57" t="s">
        <v>1019</v>
      </c>
      <c r="E13" s="23">
        <v>2</v>
      </c>
      <c r="F13" s="21" t="s">
        <v>1243</v>
      </c>
      <c r="G13" s="154">
        <f t="shared" si="0"/>
        <v>22880</v>
      </c>
      <c r="H13" s="15">
        <f t="shared" si="1"/>
        <v>45760</v>
      </c>
      <c r="I13" s="124">
        <v>200</v>
      </c>
      <c r="J13" s="125">
        <v>72</v>
      </c>
      <c r="K13" s="119"/>
      <c r="M13" s="167">
        <f t="shared" si="2"/>
        <v>279.02439024390242</v>
      </c>
    </row>
    <row r="14" spans="1:13" ht="38.25">
      <c r="A14" s="21">
        <v>13</v>
      </c>
      <c r="B14" s="21" t="s">
        <v>950</v>
      </c>
      <c r="C14" s="21" t="s">
        <v>1203</v>
      </c>
      <c r="D14" s="57" t="s">
        <v>1023</v>
      </c>
      <c r="E14" s="23">
        <v>2</v>
      </c>
      <c r="F14" s="21" t="s">
        <v>1243</v>
      </c>
      <c r="G14" s="154">
        <f t="shared" si="0"/>
        <v>10296</v>
      </c>
      <c r="H14" s="15">
        <f t="shared" si="1"/>
        <v>20592</v>
      </c>
      <c r="I14" s="124">
        <v>90</v>
      </c>
      <c r="J14" s="125">
        <v>72</v>
      </c>
      <c r="K14" s="119"/>
      <c r="M14" s="167">
        <f t="shared" si="2"/>
        <v>125.5609756097561</v>
      </c>
    </row>
    <row r="15" spans="1:13">
      <c r="A15" s="21">
        <v>49</v>
      </c>
      <c r="B15" s="397" t="s">
        <v>76</v>
      </c>
      <c r="C15" s="397"/>
      <c r="D15" s="397"/>
      <c r="E15" s="397"/>
      <c r="F15" s="397"/>
      <c r="G15" s="397"/>
      <c r="H15" s="162">
        <f>SUM(H2:H14)</f>
        <v>578250.08000000007</v>
      </c>
      <c r="K15" s="119"/>
    </row>
    <row r="16" spans="1:13">
      <c r="A16" s="21">
        <v>50</v>
      </c>
      <c r="B16" s="397" t="s">
        <v>1193</v>
      </c>
      <c r="C16" s="397"/>
      <c r="D16" s="397"/>
      <c r="E16" s="397"/>
      <c r="F16" s="397"/>
      <c r="G16" s="397"/>
      <c r="H16" s="162">
        <f>H15*0.18</f>
        <v>104085.01440000001</v>
      </c>
      <c r="K16" s="119"/>
    </row>
    <row r="17" spans="1:11">
      <c r="A17" s="21">
        <v>51</v>
      </c>
      <c r="B17" s="397" t="s">
        <v>742</v>
      </c>
      <c r="C17" s="397"/>
      <c r="D17" s="397"/>
      <c r="E17" s="397"/>
      <c r="F17" s="397"/>
      <c r="G17" s="397"/>
      <c r="H17" s="162">
        <f>SUM(H15:H16)</f>
        <v>682335.09440000006</v>
      </c>
      <c r="K17" s="119"/>
    </row>
    <row r="18" spans="1:11">
      <c r="A18" s="398"/>
      <c r="B18" s="399"/>
      <c r="C18" s="399"/>
      <c r="D18" s="399"/>
      <c r="E18" s="399"/>
      <c r="F18" s="399"/>
      <c r="G18" s="399"/>
      <c r="H18" s="400"/>
    </row>
    <row r="19" spans="1:11" ht="180.95" customHeight="1">
      <c r="A19" s="128" t="s">
        <v>80</v>
      </c>
      <c r="B19" s="360" t="s">
        <v>788</v>
      </c>
      <c r="C19" s="360"/>
      <c r="D19" s="360"/>
      <c r="E19" s="360"/>
      <c r="F19" s="360"/>
      <c r="G19" s="360"/>
      <c r="H19" s="361"/>
    </row>
  </sheetData>
  <autoFilter ref="A1:N17" xr:uid="{00000000-0009-0000-0000-000045000000}"/>
  <mergeCells count="5">
    <mergeCell ref="B15:G15"/>
    <mergeCell ref="B16:G16"/>
    <mergeCell ref="B17:G17"/>
    <mergeCell ref="A18:H18"/>
    <mergeCell ref="B19:H19"/>
  </mergeCells>
  <printOptions horizontalCentered="1"/>
  <pageMargins left="0.31496062992125984" right="0.31496062992125984" top="0.55118110236220474" bottom="0.55118110236220474" header="0.31496062992125984" footer="0.31496062992125984"/>
  <pageSetup orientation="landscape" horizontalDpi="4294967292" r:id="rId1"/>
  <headerFooter>
    <oddFooter>Page &amp;P of &amp;N</oddFooter>
  </headerFooter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Sheet71"/>
  <dimension ref="A1:M13"/>
  <sheetViews>
    <sheetView zoomScaleNormal="100" workbookViewId="0">
      <selection activeCell="A13" sqref="A13:H13"/>
    </sheetView>
  </sheetViews>
  <sheetFormatPr defaultColWidth="9.140625" defaultRowHeight="12.75"/>
  <cols>
    <col min="1" max="1" width="5.85546875" style="119" bestFit="1" customWidth="1"/>
    <col min="2" max="2" width="17.28515625" style="119" bestFit="1" customWidth="1"/>
    <col min="3" max="3" width="37.28515625" style="119" bestFit="1" customWidth="1"/>
    <col min="4" max="4" width="79.140625" style="119" bestFit="1" customWidth="1"/>
    <col min="5" max="5" width="6.28515625" style="119" bestFit="1" customWidth="1"/>
    <col min="6" max="6" width="5" style="119" bestFit="1" customWidth="1"/>
    <col min="7" max="7" width="17" style="119" customWidth="1"/>
    <col min="8" max="8" width="15.42578125" style="119" customWidth="1"/>
    <col min="9" max="9" width="11.42578125" style="119" bestFit="1" customWidth="1"/>
    <col min="10" max="10" width="11.42578125" style="127" bestFit="1" customWidth="1"/>
    <col min="11" max="11" width="9.42578125" style="163" bestFit="1" customWidth="1"/>
    <col min="12" max="16384" width="9.140625" style="119"/>
  </cols>
  <sheetData>
    <row r="1" spans="1:13" ht="25.5">
      <c r="A1" s="152" t="s">
        <v>0</v>
      </c>
      <c r="B1" s="152" t="s">
        <v>1</v>
      </c>
      <c r="C1" s="117" t="s">
        <v>778</v>
      </c>
      <c r="D1" s="117" t="s">
        <v>67</v>
      </c>
      <c r="E1" s="117" t="s">
        <v>68</v>
      </c>
      <c r="F1" s="117" t="s">
        <v>3</v>
      </c>
      <c r="G1" s="152" t="s">
        <v>69</v>
      </c>
      <c r="H1" s="152" t="s">
        <v>527</v>
      </c>
      <c r="I1" s="119" t="s">
        <v>1250</v>
      </c>
      <c r="J1" s="120" t="s">
        <v>145</v>
      </c>
      <c r="K1" s="163" t="s">
        <v>1249</v>
      </c>
    </row>
    <row r="2" spans="1:13" ht="51">
      <c r="A2" s="21">
        <v>1</v>
      </c>
      <c r="B2" s="171" t="s">
        <v>1251</v>
      </c>
      <c r="C2" s="57" t="s">
        <v>1252</v>
      </c>
      <c r="D2" s="57" t="s">
        <v>1253</v>
      </c>
      <c r="E2" s="23" t="s">
        <v>1243</v>
      </c>
      <c r="F2" s="21" t="s">
        <v>1272</v>
      </c>
      <c r="G2" s="154">
        <f>88*1.3*I2</f>
        <v>0</v>
      </c>
      <c r="H2" s="15">
        <f>G2*F2</f>
        <v>0</v>
      </c>
      <c r="I2" s="124">
        <v>0</v>
      </c>
      <c r="J2" s="125"/>
      <c r="K2" s="119"/>
      <c r="M2" s="167"/>
    </row>
    <row r="3" spans="1:13" ht="76.5">
      <c r="A3" s="21">
        <v>2</v>
      </c>
      <c r="B3" s="171" t="s">
        <v>1254</v>
      </c>
      <c r="C3" s="57" t="s">
        <v>1255</v>
      </c>
      <c r="D3" s="57" t="s">
        <v>1256</v>
      </c>
      <c r="E3" s="23" t="s">
        <v>391</v>
      </c>
      <c r="F3" s="21" t="s">
        <v>1272</v>
      </c>
      <c r="G3" s="154">
        <f>I3</f>
        <v>240000</v>
      </c>
      <c r="H3" s="15">
        <f t="shared" ref="H3:H8" si="0">G3*F3</f>
        <v>480000</v>
      </c>
      <c r="I3" s="124">
        <v>240000</v>
      </c>
      <c r="J3" s="125"/>
      <c r="K3" s="119" t="s">
        <v>1472</v>
      </c>
      <c r="M3" s="167"/>
    </row>
    <row r="4" spans="1:13" ht="25.5">
      <c r="A4" s="21">
        <v>3</v>
      </c>
      <c r="B4" s="171" t="s">
        <v>1257</v>
      </c>
      <c r="C4" s="57" t="s">
        <v>1258</v>
      </c>
      <c r="D4" s="57" t="s">
        <v>1259</v>
      </c>
      <c r="E4" s="23" t="s">
        <v>391</v>
      </c>
      <c r="F4" s="21" t="s">
        <v>1272</v>
      </c>
      <c r="G4" s="154">
        <f>88*1.3*I4</f>
        <v>0</v>
      </c>
      <c r="H4" s="15">
        <f t="shared" si="0"/>
        <v>0</v>
      </c>
      <c r="I4" s="124">
        <v>0</v>
      </c>
      <c r="J4" s="125"/>
      <c r="K4" s="119"/>
      <c r="M4" s="167"/>
    </row>
    <row r="5" spans="1:13" ht="25.5">
      <c r="A5" s="21">
        <v>4</v>
      </c>
      <c r="B5" s="171" t="s">
        <v>1260</v>
      </c>
      <c r="C5" s="57" t="s">
        <v>1261</v>
      </c>
      <c r="D5" s="57" t="s">
        <v>1262</v>
      </c>
      <c r="E5" s="23" t="s">
        <v>1243</v>
      </c>
      <c r="F5" s="21" t="s">
        <v>1272</v>
      </c>
      <c r="G5" s="154">
        <f>88*1.3*I5</f>
        <v>0</v>
      </c>
      <c r="H5" s="15">
        <f t="shared" si="0"/>
        <v>0</v>
      </c>
      <c r="I5" s="124">
        <v>0</v>
      </c>
      <c r="J5" s="125"/>
      <c r="K5" s="119"/>
      <c r="M5" s="167"/>
    </row>
    <row r="6" spans="1:13" ht="63.75">
      <c r="A6" s="21">
        <v>5</v>
      </c>
      <c r="B6" s="171" t="s">
        <v>1263</v>
      </c>
      <c r="C6" s="57" t="s">
        <v>1264</v>
      </c>
      <c r="D6" s="57" t="s">
        <v>1265</v>
      </c>
      <c r="E6" s="23" t="s">
        <v>391</v>
      </c>
      <c r="F6" s="21" t="s">
        <v>1272</v>
      </c>
      <c r="G6" s="154">
        <v>80000</v>
      </c>
      <c r="H6" s="15">
        <f t="shared" si="0"/>
        <v>160000</v>
      </c>
      <c r="I6" s="124">
        <v>80000</v>
      </c>
      <c r="J6" s="125"/>
      <c r="K6" s="119"/>
      <c r="M6" s="167"/>
    </row>
    <row r="7" spans="1:13" ht="38.25">
      <c r="A7" s="21">
        <v>6</v>
      </c>
      <c r="B7" s="171" t="s">
        <v>1266</v>
      </c>
      <c r="C7" s="57" t="s">
        <v>1267</v>
      </c>
      <c r="D7" s="57" t="s">
        <v>1268</v>
      </c>
      <c r="E7" s="23" t="s">
        <v>1243</v>
      </c>
      <c r="F7" s="21" t="s">
        <v>1272</v>
      </c>
      <c r="G7" s="154">
        <f>88*1.3*I7</f>
        <v>0</v>
      </c>
      <c r="H7" s="15">
        <f t="shared" si="0"/>
        <v>0</v>
      </c>
      <c r="I7" s="124">
        <v>0</v>
      </c>
      <c r="J7" s="125"/>
      <c r="K7" s="119"/>
      <c r="M7" s="167"/>
    </row>
    <row r="8" spans="1:13" ht="76.5">
      <c r="A8" s="21">
        <v>7</v>
      </c>
      <c r="B8" s="171" t="s">
        <v>1269</v>
      </c>
      <c r="C8" s="57" t="s">
        <v>1270</v>
      </c>
      <c r="D8" s="57" t="s">
        <v>1271</v>
      </c>
      <c r="E8" s="23" t="s">
        <v>1243</v>
      </c>
      <c r="F8" s="21" t="s">
        <v>1273</v>
      </c>
      <c r="G8" s="154">
        <f>88*1.3*I8</f>
        <v>0</v>
      </c>
      <c r="H8" s="15">
        <f t="shared" si="0"/>
        <v>0</v>
      </c>
      <c r="I8" s="124">
        <v>0</v>
      </c>
      <c r="J8" s="125"/>
      <c r="K8" s="119"/>
      <c r="M8" s="167"/>
    </row>
    <row r="9" spans="1:13">
      <c r="A9" s="21">
        <v>8</v>
      </c>
      <c r="B9" s="397" t="s">
        <v>76</v>
      </c>
      <c r="C9" s="397"/>
      <c r="D9" s="397"/>
      <c r="E9" s="397"/>
      <c r="F9" s="397"/>
      <c r="G9" s="397"/>
      <c r="H9" s="162">
        <f>SUM(H2:H8)</f>
        <v>640000</v>
      </c>
      <c r="K9" s="119"/>
    </row>
    <row r="10" spans="1:13">
      <c r="A10" s="21">
        <v>9</v>
      </c>
      <c r="B10" s="397" t="s">
        <v>1193</v>
      </c>
      <c r="C10" s="397"/>
      <c r="D10" s="397"/>
      <c r="E10" s="397"/>
      <c r="F10" s="397"/>
      <c r="G10" s="397"/>
      <c r="H10" s="162">
        <f>H9*0.18</f>
        <v>115200</v>
      </c>
      <c r="K10" s="119"/>
    </row>
    <row r="11" spans="1:13">
      <c r="A11" s="21">
        <v>10</v>
      </c>
      <c r="B11" s="397" t="s">
        <v>742</v>
      </c>
      <c r="C11" s="397"/>
      <c r="D11" s="397"/>
      <c r="E11" s="397"/>
      <c r="F11" s="397"/>
      <c r="G11" s="397"/>
      <c r="H11" s="162">
        <f>SUM(H9:H10)</f>
        <v>755200</v>
      </c>
      <c r="K11" s="119"/>
    </row>
    <row r="12" spans="1:13">
      <c r="A12" s="398"/>
      <c r="B12" s="399"/>
      <c r="C12" s="399"/>
      <c r="D12" s="399"/>
      <c r="E12" s="399"/>
      <c r="F12" s="399"/>
      <c r="G12" s="399"/>
      <c r="H12" s="400"/>
    </row>
    <row r="13" spans="1:13" ht="180.95" customHeight="1">
      <c r="A13" s="128" t="s">
        <v>80</v>
      </c>
      <c r="B13" s="360" t="s">
        <v>788</v>
      </c>
      <c r="C13" s="360"/>
      <c r="D13" s="360"/>
      <c r="E13" s="360"/>
      <c r="F13" s="360"/>
      <c r="G13" s="360"/>
      <c r="H13" s="361"/>
    </row>
  </sheetData>
  <mergeCells count="5">
    <mergeCell ref="B9:G9"/>
    <mergeCell ref="B10:G10"/>
    <mergeCell ref="B11:G11"/>
    <mergeCell ref="A12:H12"/>
    <mergeCell ref="B13:H13"/>
  </mergeCells>
  <printOptions horizontalCentered="1"/>
  <pageMargins left="0.31496062992125984" right="0.31496062992125984" top="0.55118110236220474" bottom="0.55118110236220474" header="0.31496062992125984" footer="0.31496062992125984"/>
  <pageSetup orientation="landscape" horizontalDpi="4294967292" r:id="rId1"/>
  <headerFooter>
    <oddFooter>Page &amp;P of &amp;N</oddFooter>
  </headerFooter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Sheet72"/>
  <dimension ref="A1:M16"/>
  <sheetViews>
    <sheetView zoomScaleNormal="100" workbookViewId="0">
      <selection activeCell="N8" sqref="N8"/>
    </sheetView>
  </sheetViews>
  <sheetFormatPr defaultColWidth="9.140625" defaultRowHeight="12.75"/>
  <cols>
    <col min="1" max="1" width="5.85546875" style="119" bestFit="1" customWidth="1"/>
    <col min="2" max="2" width="17.28515625" style="119" bestFit="1" customWidth="1"/>
    <col min="3" max="3" width="37.28515625" style="119" bestFit="1" customWidth="1"/>
    <col min="4" max="4" width="79.140625" style="119" bestFit="1" customWidth="1"/>
    <col min="5" max="5" width="6.28515625" style="119" bestFit="1" customWidth="1"/>
    <col min="6" max="6" width="5" style="119" bestFit="1" customWidth="1"/>
    <col min="7" max="7" width="17" style="119" customWidth="1"/>
    <col min="8" max="8" width="15.42578125" style="119" customWidth="1"/>
    <col min="9" max="9" width="10.5703125" style="119" bestFit="1" customWidth="1"/>
    <col min="10" max="10" width="11.42578125" style="127" bestFit="1" customWidth="1"/>
    <col min="11" max="11" width="9.42578125" style="163" bestFit="1" customWidth="1"/>
    <col min="12" max="16384" width="9.140625" style="119"/>
  </cols>
  <sheetData>
    <row r="1" spans="1:13" ht="25.5">
      <c r="A1" s="152" t="s">
        <v>0</v>
      </c>
      <c r="B1" s="152" t="s">
        <v>1</v>
      </c>
      <c r="C1" s="117" t="s">
        <v>778</v>
      </c>
      <c r="D1" s="117" t="s">
        <v>67</v>
      </c>
      <c r="E1" s="117" t="s">
        <v>68</v>
      </c>
      <c r="F1" s="117" t="s">
        <v>3</v>
      </c>
      <c r="G1" s="152" t="s">
        <v>69</v>
      </c>
      <c r="H1" s="152" t="s">
        <v>527</v>
      </c>
      <c r="I1" s="119" t="s">
        <v>1250</v>
      </c>
      <c r="J1" s="120" t="s">
        <v>145</v>
      </c>
      <c r="K1" s="163" t="s">
        <v>1249</v>
      </c>
    </row>
    <row r="2" spans="1:13" ht="89.25">
      <c r="A2" s="21">
        <v>1</v>
      </c>
      <c r="B2" s="57" t="s">
        <v>1274</v>
      </c>
      <c r="C2" s="57" t="s">
        <v>1275</v>
      </c>
      <c r="D2" s="57" t="s">
        <v>1276</v>
      </c>
      <c r="E2" s="23" t="s">
        <v>1243</v>
      </c>
      <c r="F2" s="21" t="s">
        <v>1272</v>
      </c>
      <c r="G2" s="154">
        <f t="shared" ref="G2:G7" si="0">88*1.3*I2</f>
        <v>0</v>
      </c>
      <c r="H2" s="15">
        <f t="shared" ref="H2:H7" si="1">G2*F2</f>
        <v>0</v>
      </c>
      <c r="I2" s="124"/>
      <c r="J2" s="125"/>
      <c r="K2" s="119"/>
      <c r="M2" s="167"/>
    </row>
    <row r="3" spans="1:13" ht="38.25">
      <c r="A3" s="21">
        <v>2</v>
      </c>
      <c r="B3" s="57" t="s">
        <v>1277</v>
      </c>
      <c r="C3" s="57" t="s">
        <v>1278</v>
      </c>
      <c r="D3" s="57" t="s">
        <v>1279</v>
      </c>
      <c r="E3" s="23" t="s">
        <v>391</v>
      </c>
      <c r="F3" s="21" t="s">
        <v>1302</v>
      </c>
      <c r="G3" s="154">
        <f t="shared" si="0"/>
        <v>0</v>
      </c>
      <c r="H3" s="15">
        <f t="shared" si="1"/>
        <v>0</v>
      </c>
      <c r="I3" s="124"/>
      <c r="J3" s="125"/>
      <c r="K3" s="119"/>
      <c r="M3" s="167"/>
    </row>
    <row r="4" spans="1:13" ht="51">
      <c r="A4" s="21">
        <v>3</v>
      </c>
      <c r="B4" s="57" t="s">
        <v>1280</v>
      </c>
      <c r="C4" s="57" t="s">
        <v>1281</v>
      </c>
      <c r="D4" s="57" t="s">
        <v>1282</v>
      </c>
      <c r="E4" s="23" t="s">
        <v>1243</v>
      </c>
      <c r="F4" s="21" t="s">
        <v>1273</v>
      </c>
      <c r="G4" s="154">
        <f t="shared" si="0"/>
        <v>0</v>
      </c>
      <c r="H4" s="15">
        <f t="shared" si="1"/>
        <v>0</v>
      </c>
      <c r="I4" s="124"/>
      <c r="J4" s="125"/>
      <c r="K4" s="119"/>
      <c r="M4" s="167"/>
    </row>
    <row r="5" spans="1:13" ht="76.5">
      <c r="A5" s="21">
        <v>4</v>
      </c>
      <c r="B5" s="171" t="s">
        <v>1283</v>
      </c>
      <c r="C5" s="57" t="s">
        <v>1284</v>
      </c>
      <c r="D5" s="57" t="s">
        <v>1285</v>
      </c>
      <c r="E5" s="23" t="s">
        <v>391</v>
      </c>
      <c r="F5" s="21" t="s">
        <v>1273</v>
      </c>
      <c r="G5" s="154">
        <f t="shared" si="0"/>
        <v>0</v>
      </c>
      <c r="H5" s="15">
        <f t="shared" si="1"/>
        <v>0</v>
      </c>
      <c r="I5" s="124"/>
      <c r="J5" s="125"/>
      <c r="K5" s="119"/>
      <c r="M5" s="167"/>
    </row>
    <row r="6" spans="1:13" ht="63.75">
      <c r="A6" s="21">
        <v>5</v>
      </c>
      <c r="B6" s="171" t="s">
        <v>1286</v>
      </c>
      <c r="C6" s="57" t="s">
        <v>1287</v>
      </c>
      <c r="D6" s="57" t="s">
        <v>1288</v>
      </c>
      <c r="E6" s="23" t="s">
        <v>1243</v>
      </c>
      <c r="F6" s="21" t="s">
        <v>1303</v>
      </c>
      <c r="G6" s="154">
        <f t="shared" si="0"/>
        <v>0</v>
      </c>
      <c r="H6" s="15">
        <f t="shared" si="1"/>
        <v>0</v>
      </c>
      <c r="I6" s="124"/>
      <c r="J6" s="125"/>
      <c r="K6" s="119"/>
      <c r="M6" s="167"/>
    </row>
    <row r="7" spans="1:13" ht="76.5">
      <c r="A7" s="21">
        <v>6</v>
      </c>
      <c r="B7" s="171" t="s">
        <v>1289</v>
      </c>
      <c r="C7" s="57" t="s">
        <v>1290</v>
      </c>
      <c r="D7" s="57" t="s">
        <v>1291</v>
      </c>
      <c r="E7" s="23" t="s">
        <v>1243</v>
      </c>
      <c r="F7" s="21" t="s">
        <v>1273</v>
      </c>
      <c r="G7" s="154">
        <f t="shared" si="0"/>
        <v>0</v>
      </c>
      <c r="H7" s="15">
        <f t="shared" si="1"/>
        <v>0</v>
      </c>
      <c r="I7" s="124"/>
      <c r="J7" s="125"/>
      <c r="K7" s="119"/>
      <c r="M7" s="167"/>
    </row>
    <row r="8" spans="1:13" ht="63.75">
      <c r="A8" s="21">
        <v>7</v>
      </c>
      <c r="B8" s="171" t="s">
        <v>1292</v>
      </c>
      <c r="C8" s="57" t="s">
        <v>1293</v>
      </c>
      <c r="D8" s="57" t="s">
        <v>1294</v>
      </c>
      <c r="E8" s="23" t="s">
        <v>391</v>
      </c>
      <c r="F8" s="21" t="s">
        <v>1272</v>
      </c>
      <c r="G8" s="154"/>
      <c r="H8" s="15"/>
      <c r="I8" s="124"/>
      <c r="J8" s="125"/>
      <c r="K8" s="119"/>
      <c r="M8" s="167"/>
    </row>
    <row r="9" spans="1:13" ht="38.25">
      <c r="A9" s="21">
        <v>8</v>
      </c>
      <c r="B9" s="171" t="s">
        <v>1295</v>
      </c>
      <c r="C9" s="57" t="s">
        <v>1296</v>
      </c>
      <c r="D9" s="57" t="s">
        <v>1297</v>
      </c>
      <c r="E9" s="23" t="s">
        <v>391</v>
      </c>
      <c r="F9" s="21" t="s">
        <v>1273</v>
      </c>
      <c r="G9" s="154"/>
      <c r="H9" s="15"/>
      <c r="I9" s="124"/>
      <c r="J9" s="125"/>
      <c r="K9" s="119"/>
      <c r="M9" s="167"/>
    </row>
    <row r="10" spans="1:13" ht="38.25">
      <c r="A10" s="21">
        <v>9</v>
      </c>
      <c r="B10" s="171" t="s">
        <v>1298</v>
      </c>
      <c r="C10" s="57" t="s">
        <v>1299</v>
      </c>
      <c r="D10" s="57" t="s">
        <v>1300</v>
      </c>
      <c r="E10" s="23" t="s">
        <v>1243</v>
      </c>
      <c r="F10" s="21" t="s">
        <v>1272</v>
      </c>
      <c r="G10" s="154"/>
      <c r="H10" s="15"/>
      <c r="I10" s="124"/>
      <c r="J10" s="125"/>
      <c r="K10" s="119"/>
      <c r="M10" s="167"/>
    </row>
    <row r="11" spans="1:13" ht="38.25">
      <c r="A11" s="21">
        <v>10</v>
      </c>
      <c r="B11" s="171" t="s">
        <v>581</v>
      </c>
      <c r="C11" s="57" t="s">
        <v>1301</v>
      </c>
      <c r="D11" s="57" t="s">
        <v>592</v>
      </c>
      <c r="E11" s="23" t="s">
        <v>1243</v>
      </c>
      <c r="F11" s="21" t="s">
        <v>1303</v>
      </c>
      <c r="G11" s="154"/>
      <c r="H11" s="15"/>
      <c r="I11" s="124"/>
      <c r="J11" s="125"/>
      <c r="K11" s="119"/>
      <c r="M11" s="167"/>
    </row>
    <row r="12" spans="1:13">
      <c r="A12" s="21">
        <v>11</v>
      </c>
      <c r="B12" s="397" t="s">
        <v>76</v>
      </c>
      <c r="C12" s="397"/>
      <c r="D12" s="397"/>
      <c r="E12" s="397"/>
      <c r="F12" s="397"/>
      <c r="G12" s="397"/>
      <c r="H12" s="162">
        <f>SUM(H2:H11)</f>
        <v>0</v>
      </c>
      <c r="K12" s="119"/>
    </row>
    <row r="13" spans="1:13">
      <c r="A13" s="21">
        <v>12</v>
      </c>
      <c r="B13" s="397" t="s">
        <v>1193</v>
      </c>
      <c r="C13" s="397"/>
      <c r="D13" s="397"/>
      <c r="E13" s="397"/>
      <c r="F13" s="397"/>
      <c r="G13" s="397"/>
      <c r="H13" s="162">
        <f>H12*0.18</f>
        <v>0</v>
      </c>
      <c r="K13" s="119"/>
    </row>
    <row r="14" spans="1:13">
      <c r="A14" s="21">
        <v>13</v>
      </c>
      <c r="B14" s="397" t="s">
        <v>742</v>
      </c>
      <c r="C14" s="397"/>
      <c r="D14" s="397"/>
      <c r="E14" s="397"/>
      <c r="F14" s="397"/>
      <c r="G14" s="397"/>
      <c r="H14" s="162">
        <f>SUM(H12:H13)</f>
        <v>0</v>
      </c>
      <c r="K14" s="119"/>
    </row>
    <row r="15" spans="1:13">
      <c r="A15" s="398"/>
      <c r="B15" s="399"/>
      <c r="C15" s="399"/>
      <c r="D15" s="399"/>
      <c r="E15" s="399"/>
      <c r="F15" s="399"/>
      <c r="G15" s="399"/>
      <c r="H15" s="400"/>
    </row>
    <row r="16" spans="1:13" ht="180.95" customHeight="1">
      <c r="A16" s="128" t="s">
        <v>80</v>
      </c>
      <c r="B16" s="360" t="s">
        <v>788</v>
      </c>
      <c r="C16" s="360"/>
      <c r="D16" s="360"/>
      <c r="E16" s="360"/>
      <c r="F16" s="360"/>
      <c r="G16" s="360"/>
      <c r="H16" s="361"/>
    </row>
  </sheetData>
  <mergeCells count="5">
    <mergeCell ref="B12:G12"/>
    <mergeCell ref="B13:G13"/>
    <mergeCell ref="B14:G14"/>
    <mergeCell ref="A15:H15"/>
    <mergeCell ref="B16:H16"/>
  </mergeCells>
  <printOptions horizontalCentered="1"/>
  <pageMargins left="0.31496062992125984" right="0.31496062992125984" top="0.55118110236220474" bottom="0.55118110236220474" header="0.31496062992125984" footer="0.31496062992125984"/>
  <pageSetup orientation="landscape" horizontalDpi="4294967292" r:id="rId1"/>
  <headerFooter>
    <oddFooter>Page &amp;P of &amp;N</oddFooter>
  </headerFooter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Sheet73" filterMode="1"/>
  <dimension ref="A1:S36"/>
  <sheetViews>
    <sheetView zoomScale="85" zoomScaleNormal="100" workbookViewId="0">
      <pane ySplit="1" topLeftCell="A2" activePane="bottomLeft" state="frozen"/>
      <selection pane="bottomLeft" activeCell="H8" sqref="A1:S36"/>
    </sheetView>
  </sheetViews>
  <sheetFormatPr defaultColWidth="9.140625" defaultRowHeight="12.75"/>
  <cols>
    <col min="1" max="1" width="5.85546875" style="119" bestFit="1" customWidth="1"/>
    <col min="2" max="2" width="17.28515625" style="119" bestFit="1" customWidth="1"/>
    <col min="3" max="3" width="37.28515625" style="119" customWidth="1"/>
    <col min="4" max="4" width="79.140625" style="119" customWidth="1"/>
    <col min="5" max="6" width="11.5703125" style="119" customWidth="1"/>
    <col min="7" max="7" width="17" style="119" customWidth="1"/>
    <col min="8" max="8" width="15.42578125" style="119" customWidth="1"/>
    <col min="9" max="9" width="11.42578125" style="119" customWidth="1"/>
    <col min="10" max="10" width="11.42578125" style="127" customWidth="1"/>
    <col min="11" max="11" width="9.42578125" style="163" customWidth="1"/>
    <col min="12" max="12" width="9.140625" style="119" customWidth="1"/>
    <col min="13" max="13" width="9.7109375" style="119" customWidth="1"/>
    <col min="14" max="18" width="9.140625" style="119" customWidth="1"/>
    <col min="19" max="16384" width="9.140625" style="119"/>
  </cols>
  <sheetData>
    <row r="1" spans="1:19" ht="25.5">
      <c r="A1" s="152" t="s">
        <v>0</v>
      </c>
      <c r="B1" s="152" t="s">
        <v>1</v>
      </c>
      <c r="C1" s="117" t="s">
        <v>778</v>
      </c>
      <c r="D1" s="117" t="s">
        <v>67</v>
      </c>
      <c r="E1" s="117" t="s">
        <v>3</v>
      </c>
      <c r="F1" s="117" t="s">
        <v>68</v>
      </c>
      <c r="G1" s="152" t="s">
        <v>69</v>
      </c>
      <c r="H1" s="152" t="s">
        <v>527</v>
      </c>
      <c r="I1" s="119" t="s">
        <v>1250</v>
      </c>
      <c r="J1" s="120" t="s">
        <v>145</v>
      </c>
      <c r="K1" s="163" t="s">
        <v>1249</v>
      </c>
      <c r="L1" s="119" t="s">
        <v>316</v>
      </c>
      <c r="M1" s="119" t="s">
        <v>119</v>
      </c>
      <c r="N1" s="119" t="s">
        <v>1589</v>
      </c>
      <c r="S1" s="119" t="s">
        <v>2007</v>
      </c>
    </row>
    <row r="2" spans="1:19" ht="51" hidden="1">
      <c r="A2" s="21">
        <v>1</v>
      </c>
      <c r="B2" s="57" t="s">
        <v>1304</v>
      </c>
      <c r="C2" s="57" t="s">
        <v>1305</v>
      </c>
      <c r="D2" s="57" t="s">
        <v>1306</v>
      </c>
      <c r="E2" s="23" t="s">
        <v>121</v>
      </c>
      <c r="F2" s="21" t="s">
        <v>1381</v>
      </c>
      <c r="G2" s="154">
        <f t="shared" ref="G2:G7" si="0">88*1.3*I2</f>
        <v>286000</v>
      </c>
      <c r="H2" s="15">
        <f t="shared" ref="H2:H7" si="1">G2*F2</f>
        <v>1144000</v>
      </c>
      <c r="I2" s="124">
        <v>2500</v>
      </c>
      <c r="J2" s="125"/>
      <c r="K2" s="119"/>
      <c r="M2" s="167"/>
      <c r="S2" s="119">
        <v>10</v>
      </c>
    </row>
    <row r="3" spans="1:19" ht="38.25" hidden="1">
      <c r="A3" s="21">
        <v>2</v>
      </c>
      <c r="B3" s="57" t="s">
        <v>1307</v>
      </c>
      <c r="C3" s="57" t="s">
        <v>1308</v>
      </c>
      <c r="D3" s="57" t="s">
        <v>1309</v>
      </c>
      <c r="E3" s="23" t="s">
        <v>121</v>
      </c>
      <c r="F3" s="21" t="s">
        <v>1272</v>
      </c>
      <c r="G3" s="154">
        <f t="shared" si="0"/>
        <v>0</v>
      </c>
      <c r="H3" s="15">
        <f t="shared" si="1"/>
        <v>0</v>
      </c>
      <c r="I3" s="124"/>
      <c r="J3" s="125"/>
      <c r="K3" s="119"/>
      <c r="M3" s="167"/>
      <c r="N3" s="167" t="s">
        <v>1587</v>
      </c>
    </row>
    <row r="4" spans="1:19" ht="51" hidden="1">
      <c r="A4" s="21">
        <v>3</v>
      </c>
      <c r="B4" s="198" t="s">
        <v>1310</v>
      </c>
      <c r="C4" s="57" t="s">
        <v>1311</v>
      </c>
      <c r="D4" s="57" t="s">
        <v>1312</v>
      </c>
      <c r="E4" s="23" t="s">
        <v>121</v>
      </c>
      <c r="F4" s="21" t="s">
        <v>1381</v>
      </c>
      <c r="G4" s="154">
        <f t="shared" si="0"/>
        <v>257400</v>
      </c>
      <c r="H4" s="15">
        <f t="shared" si="1"/>
        <v>1029600</v>
      </c>
      <c r="I4" s="124">
        <v>2250</v>
      </c>
      <c r="J4" s="125"/>
      <c r="K4" s="119"/>
      <c r="M4" s="167"/>
      <c r="N4" s="119" t="s">
        <v>1595</v>
      </c>
    </row>
    <row r="5" spans="1:19" ht="51" hidden="1">
      <c r="A5" s="21">
        <v>4</v>
      </c>
      <c r="B5" s="57" t="s">
        <v>1313</v>
      </c>
      <c r="C5" s="57" t="s">
        <v>1314</v>
      </c>
      <c r="D5" s="57" t="s">
        <v>1315</v>
      </c>
      <c r="E5" s="23" t="s">
        <v>121</v>
      </c>
      <c r="F5" s="21" t="s">
        <v>1382</v>
      </c>
      <c r="G5" s="154">
        <f t="shared" si="0"/>
        <v>24024</v>
      </c>
      <c r="H5" s="180">
        <f t="shared" si="1"/>
        <v>432432</v>
      </c>
      <c r="I5" s="181">
        <v>210</v>
      </c>
      <c r="J5" s="125"/>
      <c r="K5" s="119"/>
      <c r="M5" s="175">
        <v>194</v>
      </c>
      <c r="S5" s="119">
        <v>10</v>
      </c>
    </row>
    <row r="6" spans="1:19" ht="38.25" hidden="1">
      <c r="A6" s="21">
        <v>5</v>
      </c>
      <c r="B6" s="57" t="s">
        <v>1316</v>
      </c>
      <c r="C6" s="57" t="s">
        <v>1317</v>
      </c>
      <c r="D6" s="57" t="s">
        <v>1318</v>
      </c>
      <c r="E6" s="23" t="s">
        <v>121</v>
      </c>
      <c r="F6" s="21" t="s">
        <v>1383</v>
      </c>
      <c r="G6" s="154">
        <f t="shared" si="0"/>
        <v>0</v>
      </c>
      <c r="H6" s="15">
        <f t="shared" si="1"/>
        <v>0</v>
      </c>
      <c r="I6" s="124"/>
      <c r="J6" s="124"/>
      <c r="K6" s="119"/>
      <c r="M6" s="167"/>
      <c r="N6" s="167" t="s">
        <v>1588</v>
      </c>
    </row>
    <row r="7" spans="1:19" ht="38.25" hidden="1">
      <c r="A7" s="21">
        <v>6</v>
      </c>
      <c r="B7" s="57" t="s">
        <v>1319</v>
      </c>
      <c r="C7" s="57" t="s">
        <v>1320</v>
      </c>
      <c r="D7" s="57" t="s">
        <v>1321</v>
      </c>
      <c r="E7" s="23" t="s">
        <v>121</v>
      </c>
      <c r="F7" s="21" t="s">
        <v>1383</v>
      </c>
      <c r="G7" s="154">
        <f t="shared" si="0"/>
        <v>0</v>
      </c>
      <c r="H7" s="15">
        <f t="shared" si="1"/>
        <v>0</v>
      </c>
      <c r="I7" s="124"/>
      <c r="J7" s="125"/>
      <c r="K7" s="119"/>
      <c r="M7" s="167"/>
      <c r="N7" s="167" t="s">
        <v>1588</v>
      </c>
    </row>
    <row r="8" spans="1:19" s="176" customFormat="1" ht="25.5">
      <c r="A8" s="177">
        <v>7</v>
      </c>
      <c r="B8" s="171" t="s">
        <v>1322</v>
      </c>
      <c r="C8" s="171" t="s">
        <v>1323</v>
      </c>
      <c r="D8" s="171" t="s">
        <v>1324</v>
      </c>
      <c r="E8" s="178" t="s">
        <v>121</v>
      </c>
      <c r="F8" s="177" t="s">
        <v>1381</v>
      </c>
      <c r="G8" s="179">
        <f>88*1.3*L8</f>
        <v>426140</v>
      </c>
      <c r="H8" s="180">
        <f t="shared" ref="H8:H30" si="2">G8*F8</f>
        <v>1704560</v>
      </c>
      <c r="I8" s="181"/>
      <c r="J8" s="182"/>
      <c r="L8" s="176">
        <v>3725</v>
      </c>
      <c r="M8" s="175"/>
      <c r="N8" s="175" t="s">
        <v>1572</v>
      </c>
      <c r="S8" s="176">
        <v>2</v>
      </c>
    </row>
    <row r="9" spans="1:19" ht="38.25" hidden="1">
      <c r="A9" s="21">
        <v>8</v>
      </c>
      <c r="B9" s="171" t="s">
        <v>662</v>
      </c>
      <c r="C9" s="57" t="s">
        <v>1325</v>
      </c>
      <c r="D9" s="57" t="s">
        <v>684</v>
      </c>
      <c r="E9" s="23" t="s">
        <v>1182</v>
      </c>
      <c r="F9" s="21" t="s">
        <v>1302</v>
      </c>
      <c r="G9" s="154">
        <f t="shared" ref="G9:G30" si="3">88*1.3*I9</f>
        <v>36608</v>
      </c>
      <c r="H9" s="15">
        <f t="shared" si="2"/>
        <v>219648</v>
      </c>
      <c r="I9" s="124">
        <v>320</v>
      </c>
      <c r="J9" s="125"/>
      <c r="K9" s="119"/>
      <c r="M9" s="167"/>
      <c r="S9" s="119">
        <v>10</v>
      </c>
    </row>
    <row r="10" spans="1:19" ht="25.5" hidden="1">
      <c r="A10" s="21">
        <v>9</v>
      </c>
      <c r="B10" s="171" t="s">
        <v>676</v>
      </c>
      <c r="C10" s="57" t="s">
        <v>1326</v>
      </c>
      <c r="D10" s="57" t="s">
        <v>700</v>
      </c>
      <c r="E10" s="23" t="s">
        <v>1182</v>
      </c>
      <c r="F10" s="21" t="s">
        <v>1383</v>
      </c>
      <c r="G10" s="154">
        <f t="shared" si="3"/>
        <v>10296</v>
      </c>
      <c r="H10" s="15">
        <f t="shared" si="2"/>
        <v>205920</v>
      </c>
      <c r="I10" s="124">
        <v>90</v>
      </c>
      <c r="J10" s="125"/>
      <c r="K10" s="119"/>
      <c r="M10" s="175">
        <v>65</v>
      </c>
      <c r="S10" s="119">
        <v>15</v>
      </c>
    </row>
    <row r="11" spans="1:19" ht="25.5" hidden="1">
      <c r="A11" s="21">
        <v>10</v>
      </c>
      <c r="B11" s="171" t="s">
        <v>660</v>
      </c>
      <c r="C11" s="57" t="s">
        <v>1327</v>
      </c>
      <c r="D11" s="57" t="s">
        <v>682</v>
      </c>
      <c r="E11" s="23" t="s">
        <v>1182</v>
      </c>
      <c r="F11" s="21" t="s">
        <v>1272</v>
      </c>
      <c r="G11" s="154">
        <f t="shared" si="3"/>
        <v>33748</v>
      </c>
      <c r="H11" s="15">
        <f t="shared" si="2"/>
        <v>67496</v>
      </c>
      <c r="I11" s="124">
        <v>295</v>
      </c>
      <c r="J11" s="125"/>
      <c r="K11" s="119"/>
      <c r="M11" s="167"/>
      <c r="S11" s="119">
        <v>10</v>
      </c>
    </row>
    <row r="12" spans="1:19" ht="25.5" hidden="1">
      <c r="A12" s="21">
        <v>11</v>
      </c>
      <c r="B12" s="57" t="s">
        <v>1328</v>
      </c>
      <c r="C12" s="57" t="s">
        <v>1329</v>
      </c>
      <c r="D12" s="57" t="s">
        <v>1330</v>
      </c>
      <c r="E12" s="23" t="s">
        <v>121</v>
      </c>
      <c r="F12" s="21" t="s">
        <v>1383</v>
      </c>
      <c r="G12" s="154">
        <f>88*1.3*J12</f>
        <v>6520.8</v>
      </c>
      <c r="H12" s="15">
        <f t="shared" si="2"/>
        <v>130416</v>
      </c>
      <c r="I12" s="124"/>
      <c r="J12" s="182">
        <v>57</v>
      </c>
      <c r="K12" s="119"/>
      <c r="M12" s="167"/>
      <c r="S12" s="119">
        <v>10</v>
      </c>
    </row>
    <row r="13" spans="1:19" s="176" customFormat="1" ht="38.25">
      <c r="A13" s="177">
        <v>12</v>
      </c>
      <c r="B13" s="171" t="s">
        <v>1331</v>
      </c>
      <c r="C13" s="171" t="s">
        <v>1332</v>
      </c>
      <c r="D13" s="171" t="s">
        <v>1333</v>
      </c>
      <c r="E13" s="178" t="s">
        <v>121</v>
      </c>
      <c r="F13" s="177" t="s">
        <v>1381</v>
      </c>
      <c r="G13" s="179">
        <f>88*1.3*L13</f>
        <v>426140</v>
      </c>
      <c r="H13" s="180">
        <f t="shared" si="2"/>
        <v>1704560</v>
      </c>
      <c r="I13" s="181"/>
      <c r="J13" s="182"/>
      <c r="L13" s="176">
        <v>3725</v>
      </c>
      <c r="M13" s="175"/>
      <c r="N13" s="175" t="s">
        <v>1573</v>
      </c>
      <c r="S13" s="176">
        <v>2</v>
      </c>
    </row>
    <row r="14" spans="1:19" ht="25.5" hidden="1">
      <c r="A14" s="21">
        <v>13</v>
      </c>
      <c r="B14" s="57" t="s">
        <v>1334</v>
      </c>
      <c r="C14" s="57" t="s">
        <v>1335</v>
      </c>
      <c r="D14" s="57" t="s">
        <v>1336</v>
      </c>
      <c r="E14" s="23" t="s">
        <v>121</v>
      </c>
      <c r="F14" s="21" t="s">
        <v>1384</v>
      </c>
      <c r="G14" s="154">
        <f>88*1.3*I14</f>
        <v>67496</v>
      </c>
      <c r="H14" s="15">
        <f t="shared" si="2"/>
        <v>674960</v>
      </c>
      <c r="I14" s="124">
        <v>590</v>
      </c>
      <c r="J14" s="125"/>
      <c r="K14" s="119"/>
      <c r="M14" s="167">
        <v>590</v>
      </c>
    </row>
    <row r="15" spans="1:19" ht="25.5" hidden="1">
      <c r="A15" s="21">
        <v>14</v>
      </c>
      <c r="B15" s="57" t="s">
        <v>1337</v>
      </c>
      <c r="C15" s="57" t="s">
        <v>1338</v>
      </c>
      <c r="D15" s="57" t="s">
        <v>1339</v>
      </c>
      <c r="E15" s="23" t="s">
        <v>121</v>
      </c>
      <c r="F15" s="21" t="s">
        <v>1302</v>
      </c>
      <c r="G15" s="154">
        <f>88*1.3*J15</f>
        <v>6292</v>
      </c>
      <c r="H15" s="15">
        <f t="shared" si="2"/>
        <v>37752</v>
      </c>
      <c r="I15" s="124"/>
      <c r="J15" s="182">
        <v>55</v>
      </c>
      <c r="K15" s="119"/>
      <c r="M15" s="167"/>
      <c r="S15" s="119">
        <v>10</v>
      </c>
    </row>
    <row r="16" spans="1:19" ht="51" hidden="1">
      <c r="A16" s="21">
        <v>15</v>
      </c>
      <c r="B16" s="171" t="s">
        <v>1340</v>
      </c>
      <c r="C16" s="57" t="s">
        <v>1341</v>
      </c>
      <c r="D16" s="57" t="s">
        <v>1342</v>
      </c>
      <c r="E16" s="23" t="s">
        <v>121</v>
      </c>
      <c r="F16" s="21" t="s">
        <v>1381</v>
      </c>
      <c r="G16" s="154">
        <f t="shared" si="3"/>
        <v>320320</v>
      </c>
      <c r="H16" s="15">
        <f t="shared" si="2"/>
        <v>1281280</v>
      </c>
      <c r="I16" s="124">
        <v>2800</v>
      </c>
      <c r="J16" s="125"/>
      <c r="K16" s="119"/>
      <c r="M16" s="175">
        <v>2520</v>
      </c>
      <c r="S16" s="119">
        <v>13</v>
      </c>
    </row>
    <row r="17" spans="1:19" ht="38.25" hidden="1">
      <c r="A17" s="21">
        <v>16</v>
      </c>
      <c r="B17" s="57" t="s">
        <v>1343</v>
      </c>
      <c r="C17" s="57" t="s">
        <v>1344</v>
      </c>
      <c r="D17" s="57" t="s">
        <v>1345</v>
      </c>
      <c r="E17" s="23" t="s">
        <v>121</v>
      </c>
      <c r="F17" s="21" t="s">
        <v>1273</v>
      </c>
      <c r="G17" s="154">
        <f t="shared" si="3"/>
        <v>0</v>
      </c>
      <c r="H17" s="15">
        <f t="shared" si="2"/>
        <v>0</v>
      </c>
      <c r="I17" s="124"/>
      <c r="J17" s="125"/>
      <c r="K17" s="119"/>
      <c r="M17" s="167"/>
      <c r="N17" s="119" t="s">
        <v>1590</v>
      </c>
    </row>
    <row r="18" spans="1:19" ht="38.25" hidden="1">
      <c r="A18" s="21">
        <v>17</v>
      </c>
      <c r="B18" s="57" t="s">
        <v>1346</v>
      </c>
      <c r="C18" s="57" t="s">
        <v>1347</v>
      </c>
      <c r="D18" s="57" t="s">
        <v>1348</v>
      </c>
      <c r="E18" s="23" t="s">
        <v>121</v>
      </c>
      <c r="F18" s="21" t="s">
        <v>1273</v>
      </c>
      <c r="G18" s="154">
        <f t="shared" si="3"/>
        <v>0</v>
      </c>
      <c r="H18" s="15">
        <f t="shared" si="2"/>
        <v>0</v>
      </c>
      <c r="I18" s="124"/>
      <c r="J18" s="125"/>
      <c r="K18" s="119"/>
      <c r="M18" s="167"/>
      <c r="N18" s="119" t="s">
        <v>1590</v>
      </c>
    </row>
    <row r="19" spans="1:19" s="196" customFormat="1" ht="25.5" hidden="1">
      <c r="A19" s="190">
        <v>18</v>
      </c>
      <c r="B19" s="191" t="s">
        <v>1349</v>
      </c>
      <c r="C19" s="191" t="s">
        <v>1350</v>
      </c>
      <c r="D19" s="191" t="s">
        <v>1351</v>
      </c>
      <c r="E19" s="192" t="s">
        <v>121</v>
      </c>
      <c r="F19" s="190" t="s">
        <v>1273</v>
      </c>
      <c r="G19" s="165">
        <f>I19</f>
        <v>560000</v>
      </c>
      <c r="H19" s="193">
        <f t="shared" si="2"/>
        <v>560000</v>
      </c>
      <c r="I19" s="194">
        <v>560000</v>
      </c>
      <c r="J19" s="195"/>
      <c r="M19" s="197" t="s">
        <v>1591</v>
      </c>
    </row>
    <row r="20" spans="1:19" ht="38.25" hidden="1">
      <c r="A20" s="21">
        <v>19</v>
      </c>
      <c r="B20" s="57" t="s">
        <v>1352</v>
      </c>
      <c r="C20" s="57" t="s">
        <v>1353</v>
      </c>
      <c r="D20" s="57" t="s">
        <v>1354</v>
      </c>
      <c r="E20" s="23" t="s">
        <v>221</v>
      </c>
      <c r="F20" s="21" t="s">
        <v>1273</v>
      </c>
      <c r="G20" s="154">
        <f t="shared" si="3"/>
        <v>0</v>
      </c>
      <c r="H20" s="15">
        <f t="shared" si="2"/>
        <v>0</v>
      </c>
      <c r="I20" s="124"/>
      <c r="J20" s="125"/>
      <c r="K20" s="119"/>
      <c r="M20" s="167"/>
      <c r="N20" s="119" t="s">
        <v>1592</v>
      </c>
    </row>
    <row r="21" spans="1:19" ht="38.25" hidden="1">
      <c r="A21" s="21">
        <v>20</v>
      </c>
      <c r="B21" s="57" t="s">
        <v>1355</v>
      </c>
      <c r="C21" s="57" t="s">
        <v>1356</v>
      </c>
      <c r="D21" s="57" t="s">
        <v>1357</v>
      </c>
      <c r="E21" s="23" t="s">
        <v>121</v>
      </c>
      <c r="F21" s="21" t="s">
        <v>1385</v>
      </c>
      <c r="G21" s="154">
        <f t="shared" si="3"/>
        <v>0</v>
      </c>
      <c r="H21" s="15">
        <f t="shared" si="2"/>
        <v>0</v>
      </c>
      <c r="I21" s="124"/>
      <c r="J21" s="125"/>
      <c r="K21" s="119"/>
      <c r="M21" s="167"/>
      <c r="N21" s="119" t="s">
        <v>1593</v>
      </c>
    </row>
    <row r="22" spans="1:19" s="176" customFormat="1" ht="38.25">
      <c r="A22" s="177">
        <v>21</v>
      </c>
      <c r="B22" s="171" t="s">
        <v>1358</v>
      </c>
      <c r="C22" s="171" t="s">
        <v>1359</v>
      </c>
      <c r="D22" s="171" t="s">
        <v>1360</v>
      </c>
      <c r="E22" s="178" t="s">
        <v>121</v>
      </c>
      <c r="F22" s="177" t="s">
        <v>1384</v>
      </c>
      <c r="G22" s="179">
        <f>88*1.3*L22</f>
        <v>426140</v>
      </c>
      <c r="H22" s="180">
        <f t="shared" si="2"/>
        <v>4261400</v>
      </c>
      <c r="I22" s="181"/>
      <c r="J22" s="182"/>
      <c r="L22" s="176">
        <v>3725</v>
      </c>
      <c r="M22" s="175"/>
      <c r="N22" s="175" t="s">
        <v>1574</v>
      </c>
      <c r="S22" s="176">
        <v>2</v>
      </c>
    </row>
    <row r="23" spans="1:19" ht="38.25" hidden="1">
      <c r="A23" s="21">
        <v>22</v>
      </c>
      <c r="B23" s="57" t="s">
        <v>1361</v>
      </c>
      <c r="C23" s="57" t="s">
        <v>1362</v>
      </c>
      <c r="D23" s="57" t="s">
        <v>1363</v>
      </c>
      <c r="E23" s="23" t="s">
        <v>121</v>
      </c>
      <c r="F23" s="21" t="s">
        <v>1272</v>
      </c>
      <c r="G23" s="154">
        <f t="shared" si="3"/>
        <v>0</v>
      </c>
      <c r="H23" s="15">
        <f t="shared" si="2"/>
        <v>0</v>
      </c>
      <c r="I23" s="124"/>
      <c r="J23" s="125"/>
      <c r="K23" s="119"/>
      <c r="M23" s="167"/>
      <c r="N23" s="119" t="s">
        <v>116</v>
      </c>
    </row>
    <row r="24" spans="1:19" ht="25.5" hidden="1">
      <c r="A24" s="21">
        <v>23</v>
      </c>
      <c r="B24" s="171" t="s">
        <v>822</v>
      </c>
      <c r="C24" s="57" t="s">
        <v>918</v>
      </c>
      <c r="D24" s="57" t="s">
        <v>824</v>
      </c>
      <c r="E24" s="23" t="s">
        <v>121</v>
      </c>
      <c r="F24" s="21" t="s">
        <v>1272</v>
      </c>
      <c r="G24" s="154">
        <f t="shared" si="3"/>
        <v>1029600</v>
      </c>
      <c r="H24" s="15">
        <f t="shared" si="2"/>
        <v>2059200</v>
      </c>
      <c r="I24" s="124">
        <v>9000</v>
      </c>
      <c r="J24" s="125"/>
      <c r="K24" s="119"/>
      <c r="M24" s="175">
        <v>9000</v>
      </c>
    </row>
    <row r="25" spans="1:19" ht="51" hidden="1">
      <c r="A25" s="21">
        <v>24</v>
      </c>
      <c r="B25" s="171" t="s">
        <v>45</v>
      </c>
      <c r="C25" s="57" t="s">
        <v>1364</v>
      </c>
      <c r="D25" s="57" t="s">
        <v>1365</v>
      </c>
      <c r="E25" s="23" t="s">
        <v>121</v>
      </c>
      <c r="F25" s="21" t="s">
        <v>1381</v>
      </c>
      <c r="G25" s="154">
        <f t="shared" si="3"/>
        <v>11440</v>
      </c>
      <c r="H25" s="15">
        <f t="shared" si="2"/>
        <v>45760</v>
      </c>
      <c r="I25" s="124">
        <v>100</v>
      </c>
      <c r="J25" s="125"/>
      <c r="K25" s="119"/>
      <c r="M25" s="175">
        <v>180</v>
      </c>
      <c r="S25" s="119">
        <v>10</v>
      </c>
    </row>
    <row r="26" spans="1:19" ht="51" hidden="1">
      <c r="A26" s="21">
        <v>25</v>
      </c>
      <c r="B26" s="171" t="s">
        <v>1366</v>
      </c>
      <c r="C26" s="57" t="s">
        <v>1367</v>
      </c>
      <c r="D26" s="57" t="s">
        <v>1368</v>
      </c>
      <c r="E26" s="23" t="s">
        <v>121</v>
      </c>
      <c r="F26" s="21" t="s">
        <v>1386</v>
      </c>
      <c r="G26" s="154">
        <f t="shared" si="3"/>
        <v>12126.400000000001</v>
      </c>
      <c r="H26" s="15">
        <f t="shared" si="2"/>
        <v>485056.00000000006</v>
      </c>
      <c r="I26" s="124">
        <v>106</v>
      </c>
      <c r="J26" s="125"/>
      <c r="K26" s="119"/>
      <c r="M26" s="175">
        <v>106</v>
      </c>
    </row>
    <row r="27" spans="1:19" ht="38.25" hidden="1">
      <c r="A27" s="21">
        <v>26</v>
      </c>
      <c r="B27" s="57" t="s">
        <v>1369</v>
      </c>
      <c r="C27" s="57" t="s">
        <v>1370</v>
      </c>
      <c r="D27" s="57" t="s">
        <v>1371</v>
      </c>
      <c r="E27" s="23" t="s">
        <v>121</v>
      </c>
      <c r="F27" s="21" t="s">
        <v>1381</v>
      </c>
      <c r="G27" s="154">
        <f t="shared" si="3"/>
        <v>11440</v>
      </c>
      <c r="H27" s="15">
        <f t="shared" si="2"/>
        <v>45760</v>
      </c>
      <c r="I27" s="124">
        <v>100</v>
      </c>
      <c r="J27" s="125"/>
      <c r="K27" s="119"/>
      <c r="M27" s="167"/>
    </row>
    <row r="28" spans="1:19" ht="25.5" hidden="1">
      <c r="A28" s="21">
        <v>27</v>
      </c>
      <c r="B28" s="57" t="s">
        <v>1372</v>
      </c>
      <c r="C28" s="57" t="s">
        <v>1373</v>
      </c>
      <c r="D28" s="57" t="s">
        <v>1374</v>
      </c>
      <c r="E28" s="23" t="s">
        <v>121</v>
      </c>
      <c r="F28" s="21" t="s">
        <v>1381</v>
      </c>
      <c r="G28" s="154">
        <f t="shared" si="3"/>
        <v>11440</v>
      </c>
      <c r="H28" s="15">
        <f t="shared" si="2"/>
        <v>45760</v>
      </c>
      <c r="I28" s="124">
        <v>100</v>
      </c>
      <c r="J28" s="125"/>
      <c r="K28" s="119"/>
      <c r="M28" s="167"/>
    </row>
    <row r="29" spans="1:19" ht="51" hidden="1">
      <c r="A29" s="21">
        <v>28</v>
      </c>
      <c r="B29" s="57" t="s">
        <v>1375</v>
      </c>
      <c r="C29" s="57" t="s">
        <v>1376</v>
      </c>
      <c r="D29" s="57" t="s">
        <v>1377</v>
      </c>
      <c r="E29" s="23" t="s">
        <v>221</v>
      </c>
      <c r="F29" s="21" t="s">
        <v>1273</v>
      </c>
      <c r="G29" s="154">
        <f t="shared" si="3"/>
        <v>0</v>
      </c>
      <c r="H29" s="15">
        <f t="shared" si="2"/>
        <v>0</v>
      </c>
      <c r="I29" s="124"/>
      <c r="J29" s="125"/>
      <c r="K29" s="119"/>
      <c r="M29" s="167" t="s">
        <v>116</v>
      </c>
    </row>
    <row r="30" spans="1:19" ht="38.25" hidden="1">
      <c r="A30" s="21">
        <v>29</v>
      </c>
      <c r="B30" s="57" t="s">
        <v>1378</v>
      </c>
      <c r="C30" s="57" t="s">
        <v>1379</v>
      </c>
      <c r="D30" s="57" t="s">
        <v>1380</v>
      </c>
      <c r="E30" s="23" t="s">
        <v>1182</v>
      </c>
      <c r="F30" s="21" t="s">
        <v>1381</v>
      </c>
      <c r="G30" s="154">
        <f t="shared" si="3"/>
        <v>0</v>
      </c>
      <c r="H30" s="15">
        <f t="shared" si="2"/>
        <v>0</v>
      </c>
      <c r="I30" s="124"/>
      <c r="J30" s="125"/>
      <c r="K30" s="119"/>
      <c r="M30" s="167" t="s">
        <v>116</v>
      </c>
    </row>
    <row r="31" spans="1:19" ht="25.5" hidden="1">
      <c r="A31" s="21">
        <v>30</v>
      </c>
      <c r="B31" s="168" t="s">
        <v>1387</v>
      </c>
      <c r="C31" s="168" t="s">
        <v>1388</v>
      </c>
      <c r="D31" s="168" t="s">
        <v>1389</v>
      </c>
      <c r="E31" s="23" t="s">
        <v>1182</v>
      </c>
      <c r="F31" s="169">
        <v>2</v>
      </c>
      <c r="G31" s="154">
        <f>88*1.3*I31</f>
        <v>1601600</v>
      </c>
      <c r="H31" s="15">
        <f>G31*F31</f>
        <v>3203200</v>
      </c>
      <c r="I31" s="124">
        <v>14000</v>
      </c>
      <c r="J31" s="170"/>
      <c r="K31" s="119"/>
      <c r="M31" s="175">
        <v>12500</v>
      </c>
      <c r="S31" s="119">
        <v>16</v>
      </c>
    </row>
    <row r="32" spans="1:19" hidden="1">
      <c r="A32" s="21">
        <v>31</v>
      </c>
      <c r="B32" s="397" t="s">
        <v>76</v>
      </c>
      <c r="C32" s="397"/>
      <c r="D32" s="397"/>
      <c r="E32" s="397"/>
      <c r="F32" s="397"/>
      <c r="G32" s="397"/>
      <c r="H32" s="162">
        <f>SUM(H2:H31)</f>
        <v>19338760</v>
      </c>
      <c r="K32" s="119"/>
    </row>
    <row r="33" spans="1:11" hidden="1">
      <c r="A33" s="21">
        <v>32</v>
      </c>
      <c r="B33" s="397" t="s">
        <v>1193</v>
      </c>
      <c r="C33" s="397"/>
      <c r="D33" s="397"/>
      <c r="E33" s="397"/>
      <c r="F33" s="397"/>
      <c r="G33" s="397"/>
      <c r="H33" s="162">
        <f>H32*0.18</f>
        <v>3480976.8</v>
      </c>
      <c r="K33" s="119"/>
    </row>
    <row r="34" spans="1:11" hidden="1">
      <c r="A34" s="21">
        <v>33</v>
      </c>
      <c r="B34" s="397" t="s">
        <v>742</v>
      </c>
      <c r="C34" s="397"/>
      <c r="D34" s="397"/>
      <c r="E34" s="397"/>
      <c r="F34" s="397"/>
      <c r="G34" s="397"/>
      <c r="H34" s="162">
        <f>SUM(H32:H33)</f>
        <v>22819736.800000001</v>
      </c>
      <c r="K34" s="119"/>
    </row>
    <row r="35" spans="1:11">
      <c r="A35" s="398"/>
      <c r="B35" s="399"/>
      <c r="C35" s="399"/>
      <c r="D35" s="399"/>
      <c r="E35" s="399"/>
      <c r="F35" s="399"/>
      <c r="G35" s="399"/>
      <c r="H35" s="400"/>
    </row>
    <row r="36" spans="1:11" ht="180.95" customHeight="1">
      <c r="A36" s="128" t="s">
        <v>80</v>
      </c>
      <c r="B36" s="360" t="s">
        <v>788</v>
      </c>
      <c r="C36" s="360"/>
      <c r="D36" s="360"/>
      <c r="E36" s="360"/>
      <c r="F36" s="360"/>
      <c r="G36" s="360"/>
      <c r="H36" s="361"/>
    </row>
  </sheetData>
  <autoFilter ref="A1:S34" xr:uid="{00000000-0001-0000-4800-000000000000}">
    <filterColumn colId="18">
      <filters>
        <filter val="2"/>
      </filters>
    </filterColumn>
  </autoFilter>
  <mergeCells count="5">
    <mergeCell ref="B32:G32"/>
    <mergeCell ref="B33:G33"/>
    <mergeCell ref="B34:G34"/>
    <mergeCell ref="A35:H35"/>
    <mergeCell ref="B36:H36"/>
  </mergeCells>
  <printOptions horizontalCentered="1"/>
  <pageMargins left="0.31496062992125984" right="0.31496062992125984" top="0.55118110236220474" bottom="0.55118110236220474" header="0.31496062992125984" footer="0.31496062992125984"/>
  <pageSetup orientation="landscape" horizontalDpi="4294967292" r:id="rId1"/>
  <headerFooter>
    <oddFooter>Page &amp;P of &amp;N</oddFooter>
  </headerFooter>
  <legacy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Sheet74"/>
  <dimension ref="A1:M36"/>
  <sheetViews>
    <sheetView zoomScaleNormal="100" workbookViewId="0">
      <pane ySplit="1" topLeftCell="A8" activePane="bottomLeft" state="frozen"/>
      <selection pane="bottomLeft" activeCell="D17" sqref="D17"/>
    </sheetView>
  </sheetViews>
  <sheetFormatPr defaultColWidth="9.140625" defaultRowHeight="12.75"/>
  <cols>
    <col min="1" max="1" width="5.85546875" style="119" bestFit="1" customWidth="1"/>
    <col min="2" max="2" width="17.28515625" style="119" bestFit="1" customWidth="1"/>
    <col min="3" max="3" width="19.28515625" style="119" customWidth="1"/>
    <col min="4" max="4" width="50.85546875" style="119" customWidth="1"/>
    <col min="5" max="6" width="11.5703125" style="119" customWidth="1"/>
    <col min="7" max="7" width="17" style="119" customWidth="1"/>
    <col min="8" max="8" width="15.42578125" style="119" customWidth="1"/>
    <col min="9" max="9" width="11.42578125" style="119" bestFit="1" customWidth="1"/>
    <col min="10" max="10" width="9.140625" style="119"/>
    <col min="11" max="11" width="9.7109375" style="119" bestFit="1" customWidth="1"/>
    <col min="12" max="16384" width="9.140625" style="119"/>
  </cols>
  <sheetData>
    <row r="1" spans="1:13" ht="25.5">
      <c r="A1" s="152" t="s">
        <v>0</v>
      </c>
      <c r="B1" s="152" t="s">
        <v>1</v>
      </c>
      <c r="C1" s="117" t="s">
        <v>778</v>
      </c>
      <c r="D1" s="173" t="s">
        <v>67</v>
      </c>
      <c r="E1" s="117" t="s">
        <v>3</v>
      </c>
      <c r="F1" s="117" t="s">
        <v>68</v>
      </c>
      <c r="G1" s="152" t="s">
        <v>69</v>
      </c>
      <c r="H1" s="152" t="s">
        <v>527</v>
      </c>
      <c r="I1" s="119" t="s">
        <v>1250</v>
      </c>
      <c r="J1" s="119" t="s">
        <v>145</v>
      </c>
      <c r="K1" s="119" t="s">
        <v>119</v>
      </c>
      <c r="L1" s="119" t="s">
        <v>316</v>
      </c>
      <c r="M1" s="119" t="s">
        <v>1589</v>
      </c>
    </row>
    <row r="2" spans="1:13" ht="38.25">
      <c r="A2" s="21">
        <v>1</v>
      </c>
      <c r="B2" s="57" t="s">
        <v>661</v>
      </c>
      <c r="C2" s="57" t="s">
        <v>1417</v>
      </c>
      <c r="D2" s="174" t="s">
        <v>1444</v>
      </c>
      <c r="E2" s="23" t="s">
        <v>1182</v>
      </c>
      <c r="F2" s="21" t="s">
        <v>1303</v>
      </c>
      <c r="G2" s="154">
        <f>I2</f>
        <v>828750</v>
      </c>
      <c r="H2" s="15">
        <f>G2*F2</f>
        <v>4143750</v>
      </c>
      <c r="I2" s="124">
        <f>J2*85*1.25</f>
        <v>828750</v>
      </c>
      <c r="J2" s="119">
        <v>7800</v>
      </c>
      <c r="K2" s="167"/>
    </row>
    <row r="3" spans="1:13" ht="114.75">
      <c r="A3" s="21">
        <v>2</v>
      </c>
      <c r="B3" s="57" t="s">
        <v>1390</v>
      </c>
      <c r="C3" s="57" t="s">
        <v>1418</v>
      </c>
      <c r="D3" s="57" t="s">
        <v>1445</v>
      </c>
      <c r="E3" s="23" t="s">
        <v>121</v>
      </c>
      <c r="F3" s="21" t="s">
        <v>1272</v>
      </c>
      <c r="G3" s="154">
        <f t="shared" ref="G3:G27" si="0">I3</f>
        <v>0</v>
      </c>
      <c r="H3" s="172">
        <f>G3*F3</f>
        <v>0</v>
      </c>
      <c r="I3" s="124">
        <v>0</v>
      </c>
      <c r="K3" s="167"/>
      <c r="M3" s="119" t="s">
        <v>116</v>
      </c>
    </row>
    <row r="4" spans="1:13" ht="38.25">
      <c r="A4" s="21">
        <v>3</v>
      </c>
      <c r="B4" s="57" t="s">
        <v>674</v>
      </c>
      <c r="C4" s="57" t="s">
        <v>1419</v>
      </c>
      <c r="D4" s="174" t="s">
        <v>1446</v>
      </c>
      <c r="E4" s="23" t="s">
        <v>221</v>
      </c>
      <c r="F4" s="21" t="s">
        <v>1303</v>
      </c>
      <c r="G4" s="154">
        <f t="shared" si="0"/>
        <v>207718.75</v>
      </c>
      <c r="H4" s="15">
        <f t="shared" ref="H4:H29" si="1">G4*F4</f>
        <v>1038593.75</v>
      </c>
      <c r="I4" s="124">
        <f>J4*85*1.25</f>
        <v>207718.75</v>
      </c>
      <c r="J4" s="119">
        <v>1955</v>
      </c>
      <c r="K4"/>
    </row>
    <row r="5" spans="1:13" ht="38.25">
      <c r="A5" s="21">
        <v>4</v>
      </c>
      <c r="B5" s="57" t="s">
        <v>1391</v>
      </c>
      <c r="C5" s="57" t="s">
        <v>1420</v>
      </c>
      <c r="D5" s="174" t="s">
        <v>1447</v>
      </c>
      <c r="E5" s="23" t="s">
        <v>121</v>
      </c>
      <c r="F5" s="21" t="s">
        <v>1384</v>
      </c>
      <c r="G5" s="154">
        <f t="shared" si="0"/>
        <v>52000</v>
      </c>
      <c r="H5" s="15">
        <f t="shared" si="1"/>
        <v>520000</v>
      </c>
      <c r="I5" s="124">
        <v>52000</v>
      </c>
      <c r="K5" s="167"/>
    </row>
    <row r="6" spans="1:13" ht="38.25">
      <c r="A6" s="21">
        <v>5</v>
      </c>
      <c r="B6" s="57" t="s">
        <v>672</v>
      </c>
      <c r="C6" s="57" t="s">
        <v>1421</v>
      </c>
      <c r="D6" s="174" t="s">
        <v>1448</v>
      </c>
      <c r="E6" s="23" t="s">
        <v>221</v>
      </c>
      <c r="F6" s="21" t="s">
        <v>1303</v>
      </c>
      <c r="G6" s="154">
        <f t="shared" si="0"/>
        <v>172656.25</v>
      </c>
      <c r="H6" s="15">
        <f t="shared" si="1"/>
        <v>863281.25</v>
      </c>
      <c r="I6" s="124">
        <f>J6*85*1.25</f>
        <v>172656.25</v>
      </c>
      <c r="J6" s="119">
        <v>1625</v>
      </c>
      <c r="K6" s="167"/>
    </row>
    <row r="7" spans="1:13" ht="38.25">
      <c r="A7" s="21">
        <v>6</v>
      </c>
      <c r="B7" s="57" t="s">
        <v>671</v>
      </c>
      <c r="C7" s="57" t="s">
        <v>1422</v>
      </c>
      <c r="D7" s="174" t="s">
        <v>1449</v>
      </c>
      <c r="E7" s="23" t="s">
        <v>221</v>
      </c>
      <c r="F7" s="21" t="s">
        <v>1381</v>
      </c>
      <c r="G7" s="154">
        <f t="shared" si="0"/>
        <v>172656.25</v>
      </c>
      <c r="H7" s="15">
        <f t="shared" si="1"/>
        <v>690625</v>
      </c>
      <c r="I7" s="124">
        <f>J7*85*1.25</f>
        <v>172656.25</v>
      </c>
      <c r="J7" s="119">
        <v>1625</v>
      </c>
      <c r="K7" s="167"/>
    </row>
    <row r="8" spans="1:13" ht="38.25">
      <c r="A8" s="21">
        <v>7</v>
      </c>
      <c r="B8" s="57" t="s">
        <v>673</v>
      </c>
      <c r="C8" s="57" t="s">
        <v>1423</v>
      </c>
      <c r="D8" s="174" t="s">
        <v>1450</v>
      </c>
      <c r="E8" s="23" t="s">
        <v>221</v>
      </c>
      <c r="F8" s="21" t="s">
        <v>1381</v>
      </c>
      <c r="G8" s="154">
        <f t="shared" si="0"/>
        <v>187000</v>
      </c>
      <c r="H8" s="15">
        <f t="shared" si="1"/>
        <v>748000</v>
      </c>
      <c r="I8" s="124">
        <f>J8*85*1.25</f>
        <v>187000</v>
      </c>
      <c r="J8" s="119">
        <v>1760</v>
      </c>
      <c r="K8" s="167"/>
    </row>
    <row r="9" spans="1:13" s="176" customFormat="1" ht="76.5">
      <c r="A9" s="177">
        <v>8</v>
      </c>
      <c r="B9" s="171" t="s">
        <v>1392</v>
      </c>
      <c r="C9" s="171" t="s">
        <v>1424</v>
      </c>
      <c r="D9" s="171" t="s">
        <v>1451</v>
      </c>
      <c r="E9" s="178" t="s">
        <v>121</v>
      </c>
      <c r="F9" s="177" t="s">
        <v>1383</v>
      </c>
      <c r="G9" s="179">
        <f t="shared" si="0"/>
        <v>395781.25</v>
      </c>
      <c r="H9" s="180">
        <f t="shared" si="1"/>
        <v>7915625</v>
      </c>
      <c r="I9" s="181">
        <f>L9*85*1.25</f>
        <v>395781.25</v>
      </c>
      <c r="K9" s="175"/>
      <c r="L9" s="176">
        <v>3725</v>
      </c>
      <c r="M9" s="176" t="s">
        <v>1574</v>
      </c>
    </row>
    <row r="10" spans="1:13" ht="25.5">
      <c r="A10" s="21">
        <v>9</v>
      </c>
      <c r="B10" s="171" t="s">
        <v>1393</v>
      </c>
      <c r="C10" s="57" t="s">
        <v>1425</v>
      </c>
      <c r="D10" s="174" t="s">
        <v>1452</v>
      </c>
      <c r="E10" s="23" t="s">
        <v>121</v>
      </c>
      <c r="F10" s="21" t="s">
        <v>1383</v>
      </c>
      <c r="G10" s="154">
        <f t="shared" si="0"/>
        <v>800</v>
      </c>
      <c r="H10" s="15">
        <f t="shared" si="1"/>
        <v>16000</v>
      </c>
      <c r="I10" s="124">
        <v>800</v>
      </c>
      <c r="K10" s="167"/>
    </row>
    <row r="11" spans="1:13" ht="25.5">
      <c r="A11" s="21">
        <v>10</v>
      </c>
      <c r="B11" s="171" t="s">
        <v>1394</v>
      </c>
      <c r="C11" s="57" t="s">
        <v>1426</v>
      </c>
      <c r="D11" s="174" t="s">
        <v>1453</v>
      </c>
      <c r="E11" s="23" t="s">
        <v>1182</v>
      </c>
      <c r="F11" s="21" t="s">
        <v>1412</v>
      </c>
      <c r="G11" s="154">
        <f t="shared" si="0"/>
        <v>9000</v>
      </c>
      <c r="H11" s="15">
        <f t="shared" si="1"/>
        <v>72000</v>
      </c>
      <c r="I11" s="124">
        <v>9000</v>
      </c>
      <c r="K11" s="167"/>
    </row>
    <row r="12" spans="1:13" ht="38.25">
      <c r="A12" s="21">
        <v>11</v>
      </c>
      <c r="B12" s="57" t="s">
        <v>1395</v>
      </c>
      <c r="C12" s="57" t="s">
        <v>1427</v>
      </c>
      <c r="D12" s="174" t="s">
        <v>1454</v>
      </c>
      <c r="E12" s="23" t="s">
        <v>121</v>
      </c>
      <c r="F12" s="21" t="s">
        <v>1384</v>
      </c>
      <c r="G12" s="154">
        <f t="shared" si="0"/>
        <v>6500</v>
      </c>
      <c r="H12" s="15">
        <f t="shared" si="1"/>
        <v>65000</v>
      </c>
      <c r="I12" s="124">
        <v>6500</v>
      </c>
      <c r="K12" s="167"/>
    </row>
    <row r="13" spans="1:13" ht="51">
      <c r="A13" s="21">
        <v>12</v>
      </c>
      <c r="B13" s="57" t="s">
        <v>1396</v>
      </c>
      <c r="C13" s="57" t="s">
        <v>1428</v>
      </c>
      <c r="D13" s="57" t="s">
        <v>1455</v>
      </c>
      <c r="E13" s="23" t="s">
        <v>121</v>
      </c>
      <c r="F13" s="21" t="s">
        <v>1273</v>
      </c>
      <c r="G13" s="154">
        <f t="shared" si="0"/>
        <v>0</v>
      </c>
      <c r="H13" s="15">
        <f t="shared" si="1"/>
        <v>0</v>
      </c>
      <c r="I13" s="124">
        <v>0</v>
      </c>
      <c r="J13" s="119" t="s">
        <v>116</v>
      </c>
      <c r="K13" s="167"/>
      <c r="M13" s="119" t="s">
        <v>1594</v>
      </c>
    </row>
    <row r="14" spans="1:13" ht="51">
      <c r="A14" s="21">
        <v>13</v>
      </c>
      <c r="B14" s="57" t="s">
        <v>1397</v>
      </c>
      <c r="C14" s="57" t="s">
        <v>1429</v>
      </c>
      <c r="D14" s="57" t="s">
        <v>1456</v>
      </c>
      <c r="E14" s="23" t="s">
        <v>121</v>
      </c>
      <c r="F14" s="21" t="s">
        <v>1302</v>
      </c>
      <c r="G14" s="154">
        <f t="shared" si="0"/>
        <v>26137.5</v>
      </c>
      <c r="H14" s="15">
        <f t="shared" si="1"/>
        <v>156825</v>
      </c>
      <c r="I14" s="124">
        <f>J14*85*1.25</f>
        <v>26137.5</v>
      </c>
      <c r="J14" s="119">
        <v>246</v>
      </c>
      <c r="K14" s="175"/>
    </row>
    <row r="15" spans="1:13" ht="38.25">
      <c r="A15" s="21">
        <v>14</v>
      </c>
      <c r="B15" s="57" t="s">
        <v>1398</v>
      </c>
      <c r="C15" s="57" t="s">
        <v>1430</v>
      </c>
      <c r="D15" s="57" t="s">
        <v>1457</v>
      </c>
      <c r="E15" s="23" t="s">
        <v>121</v>
      </c>
      <c r="F15" s="21" t="s">
        <v>1303</v>
      </c>
      <c r="G15" s="154">
        <f t="shared" si="0"/>
        <v>1200</v>
      </c>
      <c r="H15" s="15">
        <f t="shared" si="1"/>
        <v>6000</v>
      </c>
      <c r="I15" s="189">
        <v>1200</v>
      </c>
      <c r="K15" s="167"/>
      <c r="M15" s="119" t="s">
        <v>1596</v>
      </c>
    </row>
    <row r="16" spans="1:13" ht="38.25">
      <c r="A16" s="21">
        <v>15</v>
      </c>
      <c r="B16" s="171" t="s">
        <v>1399</v>
      </c>
      <c r="C16" s="57" t="s">
        <v>1431</v>
      </c>
      <c r="D16" s="174" t="s">
        <v>1458</v>
      </c>
      <c r="E16" s="23" t="s">
        <v>121</v>
      </c>
      <c r="F16" s="21" t="s">
        <v>1381</v>
      </c>
      <c r="G16" s="154">
        <f t="shared" si="0"/>
        <v>700</v>
      </c>
      <c r="H16" s="15">
        <f t="shared" si="1"/>
        <v>2800</v>
      </c>
      <c r="I16" s="124">
        <v>700</v>
      </c>
      <c r="K16" s="167"/>
    </row>
    <row r="17" spans="1:13">
      <c r="A17" s="21">
        <v>16</v>
      </c>
      <c r="B17" s="57" t="s">
        <v>1400</v>
      </c>
      <c r="C17" s="57" t="s">
        <v>1432</v>
      </c>
      <c r="D17" s="174" t="s">
        <v>1459</v>
      </c>
      <c r="E17" s="23" t="s">
        <v>121</v>
      </c>
      <c r="F17" s="21" t="s">
        <v>1302</v>
      </c>
      <c r="G17" s="154">
        <f t="shared" si="0"/>
        <v>4500</v>
      </c>
      <c r="H17" s="15">
        <f t="shared" si="1"/>
        <v>27000</v>
      </c>
      <c r="I17" s="124">
        <v>4500</v>
      </c>
      <c r="K17" s="167"/>
    </row>
    <row r="18" spans="1:13" ht="63.75">
      <c r="A18" s="21">
        <v>17</v>
      </c>
      <c r="B18" s="57" t="s">
        <v>1401</v>
      </c>
      <c r="C18" s="57" t="s">
        <v>1433</v>
      </c>
      <c r="D18" s="57" t="s">
        <v>1460</v>
      </c>
      <c r="E18" s="23" t="s">
        <v>121</v>
      </c>
      <c r="F18" s="21" t="s">
        <v>1381</v>
      </c>
      <c r="G18" s="154">
        <f t="shared" si="0"/>
        <v>38993.75</v>
      </c>
      <c r="H18" s="15">
        <f t="shared" si="1"/>
        <v>155975</v>
      </c>
      <c r="I18" s="124">
        <f>K18*85*1.25</f>
        <v>38993.75</v>
      </c>
      <c r="K18" s="175">
        <v>367</v>
      </c>
    </row>
    <row r="19" spans="1:13" ht="63.75">
      <c r="A19" s="21">
        <v>18</v>
      </c>
      <c r="B19" s="57" t="s">
        <v>1402</v>
      </c>
      <c r="C19" s="57" t="s">
        <v>1434</v>
      </c>
      <c r="D19" s="57" t="s">
        <v>1461</v>
      </c>
      <c r="E19" s="23" t="s">
        <v>121</v>
      </c>
      <c r="F19" s="21" t="s">
        <v>1381</v>
      </c>
      <c r="G19" s="154">
        <f t="shared" si="0"/>
        <v>38993.75</v>
      </c>
      <c r="H19" s="15">
        <f t="shared" si="1"/>
        <v>155975</v>
      </c>
      <c r="I19" s="124">
        <f>K19*85*1.25</f>
        <v>38993.75</v>
      </c>
      <c r="K19" s="175">
        <v>367</v>
      </c>
    </row>
    <row r="20" spans="1:13" ht="38.25">
      <c r="A20" s="21">
        <v>19</v>
      </c>
      <c r="B20" s="57" t="s">
        <v>1403</v>
      </c>
      <c r="C20" s="57" t="s">
        <v>1435</v>
      </c>
      <c r="D20" s="174" t="s">
        <v>1462</v>
      </c>
      <c r="E20" s="23" t="s">
        <v>121</v>
      </c>
      <c r="F20" s="21" t="s">
        <v>1381</v>
      </c>
      <c r="G20" s="154">
        <f t="shared" si="0"/>
        <v>700</v>
      </c>
      <c r="H20" s="15">
        <f t="shared" si="1"/>
        <v>2800</v>
      </c>
      <c r="I20" s="124">
        <v>700</v>
      </c>
      <c r="K20" s="167"/>
    </row>
    <row r="21" spans="1:13">
      <c r="A21" s="21">
        <v>20</v>
      </c>
      <c r="B21" s="57" t="s">
        <v>1404</v>
      </c>
      <c r="C21" s="57" t="s">
        <v>1436</v>
      </c>
      <c r="D21" s="174" t="s">
        <v>1463</v>
      </c>
      <c r="E21" s="23" t="s">
        <v>121</v>
      </c>
      <c r="F21" s="21" t="s">
        <v>1381</v>
      </c>
      <c r="G21" s="154">
        <f t="shared" si="0"/>
        <v>700</v>
      </c>
      <c r="H21" s="15">
        <f t="shared" si="1"/>
        <v>2800</v>
      </c>
      <c r="I21" s="124">
        <v>700</v>
      </c>
      <c r="K21" s="167"/>
    </row>
    <row r="22" spans="1:13" ht="89.25">
      <c r="A22" s="21">
        <v>21</v>
      </c>
      <c r="B22" s="57" t="s">
        <v>1405</v>
      </c>
      <c r="C22" s="57" t="s">
        <v>1437</v>
      </c>
      <c r="D22" s="57" t="s">
        <v>1464</v>
      </c>
      <c r="E22" s="23" t="s">
        <v>1182</v>
      </c>
      <c r="F22" s="21" t="s">
        <v>1413</v>
      </c>
      <c r="G22" s="154">
        <f t="shared" si="0"/>
        <v>0</v>
      </c>
      <c r="H22" s="15">
        <f t="shared" si="1"/>
        <v>0</v>
      </c>
      <c r="I22" s="124">
        <v>0</v>
      </c>
      <c r="J22" s="119" t="s">
        <v>116</v>
      </c>
      <c r="K22" s="167"/>
    </row>
    <row r="23" spans="1:13" ht="89.25">
      <c r="A23" s="21">
        <v>22</v>
      </c>
      <c r="B23" s="57" t="s">
        <v>1406</v>
      </c>
      <c r="C23" s="57" t="s">
        <v>1438</v>
      </c>
      <c r="D23" s="57" t="s">
        <v>1465</v>
      </c>
      <c r="E23" s="23" t="s">
        <v>1182</v>
      </c>
      <c r="F23" s="21" t="s">
        <v>1414</v>
      </c>
      <c r="G23" s="154">
        <f t="shared" si="0"/>
        <v>0</v>
      </c>
      <c r="H23" s="15">
        <f t="shared" si="1"/>
        <v>0</v>
      </c>
      <c r="I23" s="124">
        <v>0</v>
      </c>
      <c r="J23" s="119" t="s">
        <v>116</v>
      </c>
      <c r="K23" s="167"/>
    </row>
    <row r="24" spans="1:13" ht="102">
      <c r="A24" s="21">
        <v>23</v>
      </c>
      <c r="B24" s="57" t="s">
        <v>307</v>
      </c>
      <c r="C24" s="57" t="s">
        <v>922</v>
      </c>
      <c r="D24" s="57" t="s">
        <v>1466</v>
      </c>
      <c r="E24" s="23" t="s">
        <v>121</v>
      </c>
      <c r="F24" s="21" t="s">
        <v>1415</v>
      </c>
      <c r="G24" s="154">
        <f>I24*90*1.3</f>
        <v>10530</v>
      </c>
      <c r="H24" s="15">
        <f t="shared" si="1"/>
        <v>126360</v>
      </c>
      <c r="I24" s="189">
        <v>90</v>
      </c>
      <c r="K24" s="167"/>
    </row>
    <row r="25" spans="1:13" ht="140.25">
      <c r="A25" s="21">
        <v>24</v>
      </c>
      <c r="B25" s="171" t="s">
        <v>1407</v>
      </c>
      <c r="C25" s="57" t="s">
        <v>1439</v>
      </c>
      <c r="D25" s="57" t="s">
        <v>1467</v>
      </c>
      <c r="E25" s="23" t="s">
        <v>1182</v>
      </c>
      <c r="F25" s="21" t="s">
        <v>1272</v>
      </c>
      <c r="G25" s="154">
        <f>88*1.3*I25</f>
        <v>67381.600000000006</v>
      </c>
      <c r="H25" s="15">
        <f t="shared" si="1"/>
        <v>134763.20000000001</v>
      </c>
      <c r="I25" s="124">
        <v>589</v>
      </c>
      <c r="J25" s="183">
        <v>589</v>
      </c>
      <c r="K25" s="167"/>
    </row>
    <row r="26" spans="1:13" ht="38.25">
      <c r="A26" s="21">
        <v>25</v>
      </c>
      <c r="B26" s="57" t="s">
        <v>1408</v>
      </c>
      <c r="C26" s="57" t="s">
        <v>1440</v>
      </c>
      <c r="D26" s="174" t="s">
        <v>1468</v>
      </c>
      <c r="E26" s="23" t="s">
        <v>1182</v>
      </c>
      <c r="F26" s="21" t="s">
        <v>1416</v>
      </c>
      <c r="G26" s="154">
        <f t="shared" si="0"/>
        <v>5500</v>
      </c>
      <c r="H26" s="15">
        <f t="shared" si="1"/>
        <v>550000</v>
      </c>
      <c r="I26" s="124">
        <v>5500</v>
      </c>
      <c r="K26" s="167"/>
    </row>
    <row r="27" spans="1:13" ht="38.25">
      <c r="A27" s="21">
        <v>26</v>
      </c>
      <c r="B27" s="57" t="s">
        <v>1409</v>
      </c>
      <c r="C27" s="57" t="s">
        <v>1441</v>
      </c>
      <c r="D27" s="174" t="s">
        <v>1469</v>
      </c>
      <c r="E27" s="23" t="s">
        <v>1182</v>
      </c>
      <c r="F27" s="21" t="s">
        <v>1416</v>
      </c>
      <c r="G27" s="154">
        <f t="shared" si="0"/>
        <v>5500</v>
      </c>
      <c r="H27" s="15">
        <f t="shared" si="1"/>
        <v>550000</v>
      </c>
      <c r="I27" s="124">
        <v>5500</v>
      </c>
      <c r="K27" s="167"/>
    </row>
    <row r="28" spans="1:13" ht="25.5">
      <c r="A28" s="21">
        <v>27</v>
      </c>
      <c r="B28" s="57" t="s">
        <v>1410</v>
      </c>
      <c r="C28" s="57" t="s">
        <v>1442</v>
      </c>
      <c r="D28" s="174" t="s">
        <v>1470</v>
      </c>
      <c r="E28" s="23" t="s">
        <v>1182</v>
      </c>
      <c r="F28" s="21" t="s">
        <v>1272</v>
      </c>
      <c r="G28" s="154">
        <f>K28*85*1.25</f>
        <v>7437.5</v>
      </c>
      <c r="H28" s="15">
        <f t="shared" si="1"/>
        <v>14875</v>
      </c>
      <c r="I28" s="124">
        <v>24000</v>
      </c>
      <c r="K28" s="176">
        <v>70</v>
      </c>
      <c r="L28" s="119">
        <f>K28*85*1.25</f>
        <v>7437.5</v>
      </c>
      <c r="M28" s="119" t="s">
        <v>1473</v>
      </c>
    </row>
    <row r="29" spans="1:13" ht="127.5">
      <c r="A29" s="21">
        <v>28</v>
      </c>
      <c r="B29" s="57" t="s">
        <v>1411</v>
      </c>
      <c r="C29" s="57" t="s">
        <v>1443</v>
      </c>
      <c r="D29" s="57" t="s">
        <v>1471</v>
      </c>
      <c r="E29" s="23" t="s">
        <v>1182</v>
      </c>
      <c r="F29" s="21" t="s">
        <v>1302</v>
      </c>
      <c r="G29" s="154">
        <f>K29*85*1.25</f>
        <v>7437.5</v>
      </c>
      <c r="H29" s="15">
        <f t="shared" si="1"/>
        <v>44625</v>
      </c>
      <c r="I29" s="124">
        <v>9500</v>
      </c>
      <c r="K29" s="176">
        <v>70</v>
      </c>
      <c r="L29" s="119">
        <f>K29*85*1.25</f>
        <v>7437.5</v>
      </c>
    </row>
    <row r="30" spans="1:13">
      <c r="A30" s="21">
        <v>31</v>
      </c>
      <c r="B30" s="397" t="s">
        <v>76</v>
      </c>
      <c r="C30" s="397"/>
      <c r="D30" s="397"/>
      <c r="E30" s="397"/>
      <c r="F30" s="397"/>
      <c r="G30" s="397"/>
      <c r="H30" s="162">
        <f>SUM(H2:H29)</f>
        <v>18003673.199999999</v>
      </c>
    </row>
    <row r="31" spans="1:13">
      <c r="A31" s="21">
        <v>32</v>
      </c>
      <c r="B31" s="397" t="s">
        <v>1193</v>
      </c>
      <c r="C31" s="397"/>
      <c r="D31" s="397"/>
      <c r="E31" s="397"/>
      <c r="F31" s="397"/>
      <c r="G31" s="397"/>
      <c r="H31" s="162">
        <f>H30*0.18</f>
        <v>3240661.176</v>
      </c>
    </row>
    <row r="32" spans="1:13">
      <c r="A32" s="21">
        <v>33</v>
      </c>
      <c r="B32" s="397" t="s">
        <v>742</v>
      </c>
      <c r="C32" s="397"/>
      <c r="D32" s="397"/>
      <c r="E32" s="397"/>
      <c r="F32" s="397"/>
      <c r="G32" s="397"/>
      <c r="H32" s="162">
        <f>SUM(H30:H31)</f>
        <v>21244334.375999998</v>
      </c>
    </row>
    <row r="33" spans="1:9">
      <c r="A33" s="398"/>
      <c r="B33" s="399"/>
      <c r="C33" s="399"/>
      <c r="D33" s="399"/>
      <c r="E33" s="399"/>
      <c r="F33" s="399"/>
      <c r="G33" s="399"/>
      <c r="H33" s="400"/>
    </row>
    <row r="34" spans="1:9" ht="180.95" customHeight="1">
      <c r="A34" s="128" t="s">
        <v>80</v>
      </c>
      <c r="B34" s="360" t="s">
        <v>788</v>
      </c>
      <c r="C34" s="360"/>
      <c r="D34" s="414"/>
      <c r="E34" s="360"/>
      <c r="F34" s="360"/>
      <c r="G34" s="360"/>
      <c r="H34" s="361"/>
    </row>
    <row r="36" spans="1:9" ht="89.25">
      <c r="A36" s="21">
        <v>3</v>
      </c>
      <c r="B36" s="198" t="s">
        <v>1310</v>
      </c>
      <c r="C36" s="57" t="s">
        <v>1311</v>
      </c>
      <c r="D36" s="57" t="s">
        <v>1312</v>
      </c>
      <c r="E36" s="23" t="s">
        <v>121</v>
      </c>
      <c r="F36" s="21" t="s">
        <v>1381</v>
      </c>
      <c r="G36" s="154">
        <f t="shared" ref="G36" si="2">88*1.3*I36</f>
        <v>257400</v>
      </c>
      <c r="H36" s="15">
        <f t="shared" ref="H36" si="3">G36*F36</f>
        <v>1029600</v>
      </c>
      <c r="I36" s="124">
        <v>2250</v>
      </c>
    </row>
  </sheetData>
  <mergeCells count="5">
    <mergeCell ref="B30:G30"/>
    <mergeCell ref="B31:G31"/>
    <mergeCell ref="B32:G32"/>
    <mergeCell ref="A33:H33"/>
    <mergeCell ref="B34:H34"/>
  </mergeCells>
  <printOptions horizontalCentered="1"/>
  <pageMargins left="0.31496062992125984" right="0.31496062992125984" top="0.55118110236220474" bottom="0.55118110236220474" header="0.31496062992125984" footer="0.31496062992125984"/>
  <pageSetup orientation="landscape" horizontalDpi="4294967292" r:id="rId1"/>
  <headerFooter>
    <oddFooter>Page &amp;P of &amp;N</oddFooter>
  </headerFooter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Sheet75"/>
  <dimension ref="A1:L38"/>
  <sheetViews>
    <sheetView zoomScaleNormal="100" workbookViewId="0">
      <selection activeCell="L4" sqref="L4"/>
    </sheetView>
  </sheetViews>
  <sheetFormatPr defaultColWidth="9.140625" defaultRowHeight="12.75"/>
  <cols>
    <col min="1" max="1" width="5.85546875" style="119" bestFit="1" customWidth="1"/>
    <col min="2" max="2" width="17.28515625" style="119" bestFit="1" customWidth="1"/>
    <col min="3" max="3" width="19.28515625" style="119" customWidth="1"/>
    <col min="4" max="4" width="50.85546875" style="119" customWidth="1"/>
    <col min="5" max="6" width="11.5703125" style="119" customWidth="1"/>
    <col min="7" max="7" width="17" style="119" customWidth="1"/>
    <col min="8" max="8" width="15.42578125" style="119" customWidth="1"/>
    <col min="9" max="9" width="11.42578125" style="119" bestFit="1" customWidth="1"/>
    <col min="10" max="10" width="9.140625" style="119"/>
    <col min="11" max="11" width="9.7109375" style="119" bestFit="1" customWidth="1"/>
    <col min="12" max="16384" width="9.140625" style="119"/>
  </cols>
  <sheetData>
    <row r="1" spans="1:12" ht="25.5">
      <c r="A1" s="152" t="s">
        <v>0</v>
      </c>
      <c r="B1" s="152" t="s">
        <v>1</v>
      </c>
      <c r="C1" s="117" t="s">
        <v>778</v>
      </c>
      <c r="D1" s="173" t="s">
        <v>67</v>
      </c>
      <c r="E1" s="117" t="s">
        <v>3</v>
      </c>
      <c r="F1" s="117" t="s">
        <v>68</v>
      </c>
      <c r="G1" s="152" t="s">
        <v>69</v>
      </c>
      <c r="H1" s="152" t="s">
        <v>527</v>
      </c>
      <c r="I1" s="119" t="s">
        <v>1250</v>
      </c>
      <c r="J1" s="119" t="s">
        <v>145</v>
      </c>
      <c r="K1" s="119" t="s">
        <v>119</v>
      </c>
      <c r="L1" s="119" t="s">
        <v>1575</v>
      </c>
    </row>
    <row r="2" spans="1:12" ht="51">
      <c r="A2" s="21">
        <f>ROW()-1</f>
        <v>1</v>
      </c>
      <c r="B2" s="57" t="s">
        <v>1474</v>
      </c>
      <c r="C2" s="57" t="s">
        <v>1506</v>
      </c>
      <c r="D2" s="57" t="s">
        <v>1538</v>
      </c>
      <c r="E2" s="23" t="s">
        <v>714</v>
      </c>
      <c r="F2" s="21" t="s">
        <v>1384</v>
      </c>
      <c r="G2" s="154"/>
      <c r="H2" s="15"/>
      <c r="I2" s="124"/>
      <c r="K2" s="167"/>
    </row>
    <row r="3" spans="1:12" ht="51">
      <c r="A3" s="21">
        <f t="shared" ref="A3:A36" si="0">ROW()-1</f>
        <v>2</v>
      </c>
      <c r="B3" s="57" t="s">
        <v>1475</v>
      </c>
      <c r="C3" s="57" t="s">
        <v>1507</v>
      </c>
      <c r="D3" s="57" t="s">
        <v>1539</v>
      </c>
      <c r="E3" s="23" t="s">
        <v>714</v>
      </c>
      <c r="F3" s="21" t="s">
        <v>1384</v>
      </c>
      <c r="G3" s="154"/>
      <c r="H3" s="172"/>
      <c r="I3" s="124"/>
      <c r="K3" s="167"/>
    </row>
    <row r="4" spans="1:12" ht="51">
      <c r="A4" s="21">
        <f t="shared" si="0"/>
        <v>3</v>
      </c>
      <c r="B4" s="57" t="s">
        <v>1476</v>
      </c>
      <c r="C4" s="57" t="s">
        <v>1508</v>
      </c>
      <c r="D4" s="57" t="s">
        <v>1540</v>
      </c>
      <c r="E4" s="23" t="s">
        <v>714</v>
      </c>
      <c r="F4" s="21" t="s">
        <v>1381</v>
      </c>
      <c r="G4" s="154"/>
      <c r="H4" s="15"/>
      <c r="I4" s="124"/>
      <c r="K4"/>
      <c r="L4" s="119">
        <v>23521.8</v>
      </c>
    </row>
    <row r="5" spans="1:12" ht="38.25">
      <c r="A5" s="21">
        <f t="shared" si="0"/>
        <v>4</v>
      </c>
      <c r="B5" s="57" t="s">
        <v>1477</v>
      </c>
      <c r="C5" s="57" t="s">
        <v>1509</v>
      </c>
      <c r="D5" s="57" t="s">
        <v>1541</v>
      </c>
      <c r="E5" s="23" t="s">
        <v>714</v>
      </c>
      <c r="F5" s="21" t="s">
        <v>1273</v>
      </c>
      <c r="G5" s="154"/>
      <c r="H5" s="15"/>
      <c r="I5" s="124"/>
      <c r="K5" s="167"/>
    </row>
    <row r="6" spans="1:12" ht="63.75">
      <c r="A6" s="21">
        <f t="shared" si="0"/>
        <v>5</v>
      </c>
      <c r="B6" s="57" t="s">
        <v>1478</v>
      </c>
      <c r="C6" s="57" t="s">
        <v>1510</v>
      </c>
      <c r="D6" s="57" t="s">
        <v>1542</v>
      </c>
      <c r="E6" s="23" t="s">
        <v>714</v>
      </c>
      <c r="F6" s="21" t="s">
        <v>1384</v>
      </c>
      <c r="G6" s="154"/>
      <c r="H6" s="15"/>
      <c r="I6" s="124"/>
      <c r="K6" s="167"/>
    </row>
    <row r="7" spans="1:12" ht="38.25">
      <c r="A7" s="21">
        <f t="shared" si="0"/>
        <v>6</v>
      </c>
      <c r="B7" s="57" t="s">
        <v>1479</v>
      </c>
      <c r="C7" s="57" t="s">
        <v>1511</v>
      </c>
      <c r="D7" s="57" t="s">
        <v>1543</v>
      </c>
      <c r="E7" s="23" t="s">
        <v>709</v>
      </c>
      <c r="F7" s="21" t="s">
        <v>1570</v>
      </c>
      <c r="G7" s="154"/>
      <c r="H7" s="15"/>
      <c r="I7" s="124"/>
      <c r="K7" s="167"/>
    </row>
    <row r="8" spans="1:12" ht="63.75">
      <c r="A8" s="21">
        <f t="shared" si="0"/>
        <v>7</v>
      </c>
      <c r="B8" s="57" t="s">
        <v>1480</v>
      </c>
      <c r="C8" s="57" t="s">
        <v>1512</v>
      </c>
      <c r="D8" s="57" t="s">
        <v>1544</v>
      </c>
      <c r="E8" s="23" t="s">
        <v>714</v>
      </c>
      <c r="F8" s="21" t="s">
        <v>1381</v>
      </c>
      <c r="G8" s="154"/>
      <c r="H8" s="15"/>
      <c r="I8" s="124"/>
      <c r="K8" s="167"/>
    </row>
    <row r="9" spans="1:12" ht="63.75">
      <c r="A9" s="21">
        <f t="shared" si="0"/>
        <v>8</v>
      </c>
      <c r="B9" s="171" t="s">
        <v>1481</v>
      </c>
      <c r="C9" s="57" t="s">
        <v>1513</v>
      </c>
      <c r="D9" s="57" t="s">
        <v>1545</v>
      </c>
      <c r="E9" s="23" t="s">
        <v>714</v>
      </c>
      <c r="F9" s="21" t="s">
        <v>1273</v>
      </c>
      <c r="G9" s="154"/>
      <c r="H9" s="15"/>
      <c r="I9" s="124"/>
      <c r="K9" s="167"/>
    </row>
    <row r="10" spans="1:12" ht="63.75">
      <c r="A10" s="21">
        <f t="shared" si="0"/>
        <v>9</v>
      </c>
      <c r="B10" s="171" t="s">
        <v>1482</v>
      </c>
      <c r="C10" s="57" t="s">
        <v>1514</v>
      </c>
      <c r="D10" s="57" t="s">
        <v>1546</v>
      </c>
      <c r="E10" s="23" t="s">
        <v>714</v>
      </c>
      <c r="F10" s="21" t="s">
        <v>1383</v>
      </c>
      <c r="G10" s="154"/>
      <c r="H10" s="15"/>
      <c r="I10" s="124"/>
      <c r="K10" s="167"/>
    </row>
    <row r="11" spans="1:12" ht="63.75">
      <c r="A11" s="21">
        <f t="shared" si="0"/>
        <v>10</v>
      </c>
      <c r="B11" s="171" t="s">
        <v>1483</v>
      </c>
      <c r="C11" s="57" t="s">
        <v>1515</v>
      </c>
      <c r="D11" s="57" t="s">
        <v>1547</v>
      </c>
      <c r="E11" s="23" t="s">
        <v>709</v>
      </c>
      <c r="F11" s="21" t="s">
        <v>1571</v>
      </c>
      <c r="G11" s="154"/>
      <c r="H11" s="15"/>
      <c r="I11" s="124"/>
      <c r="K11" s="167"/>
    </row>
    <row r="12" spans="1:12" ht="38.25">
      <c r="A12" s="21">
        <f t="shared" si="0"/>
        <v>11</v>
      </c>
      <c r="B12" s="57" t="s">
        <v>1484</v>
      </c>
      <c r="C12" s="57" t="s">
        <v>1516</v>
      </c>
      <c r="D12" s="57" t="s">
        <v>1548</v>
      </c>
      <c r="E12" s="23" t="s">
        <v>714</v>
      </c>
      <c r="F12" s="21" t="s">
        <v>1272</v>
      </c>
      <c r="G12" s="154"/>
      <c r="H12" s="15"/>
      <c r="I12" s="124"/>
      <c r="K12" s="167"/>
    </row>
    <row r="13" spans="1:12" ht="25.5">
      <c r="A13" s="21">
        <f t="shared" si="0"/>
        <v>12</v>
      </c>
      <c r="B13" s="57" t="s">
        <v>1485</v>
      </c>
      <c r="C13" s="57" t="s">
        <v>1517</v>
      </c>
      <c r="D13" s="57" t="s">
        <v>1549</v>
      </c>
      <c r="E13" s="23" t="s">
        <v>714</v>
      </c>
      <c r="F13" s="21" t="s">
        <v>1384</v>
      </c>
      <c r="G13" s="154"/>
      <c r="H13" s="15"/>
      <c r="I13" s="124"/>
      <c r="K13" s="175"/>
    </row>
    <row r="14" spans="1:12" ht="51">
      <c r="A14" s="21">
        <f t="shared" si="0"/>
        <v>13</v>
      </c>
      <c r="B14" s="57" t="s">
        <v>1486</v>
      </c>
      <c r="C14" s="57" t="s">
        <v>1518</v>
      </c>
      <c r="D14" s="57" t="s">
        <v>1550</v>
      </c>
      <c r="E14" s="23" t="s">
        <v>714</v>
      </c>
      <c r="F14" s="21" t="s">
        <v>1272</v>
      </c>
      <c r="G14" s="154"/>
      <c r="H14" s="15"/>
      <c r="I14" s="124"/>
      <c r="K14" s="175"/>
    </row>
    <row r="15" spans="1:12" ht="38.25">
      <c r="A15" s="21">
        <f t="shared" si="0"/>
        <v>14</v>
      </c>
      <c r="B15" s="57" t="s">
        <v>1487</v>
      </c>
      <c r="C15" s="57" t="s">
        <v>1519</v>
      </c>
      <c r="D15" s="57" t="s">
        <v>1551</v>
      </c>
      <c r="E15" s="23" t="s">
        <v>714</v>
      </c>
      <c r="F15" s="21" t="s">
        <v>1272</v>
      </c>
      <c r="G15" s="154"/>
      <c r="H15" s="15"/>
      <c r="I15" s="124"/>
      <c r="K15" s="175"/>
    </row>
    <row r="16" spans="1:12" ht="38.25">
      <c r="A16" s="21">
        <f t="shared" si="0"/>
        <v>15</v>
      </c>
      <c r="B16" s="171" t="s">
        <v>1488</v>
      </c>
      <c r="C16" s="57" t="s">
        <v>1520</v>
      </c>
      <c r="D16" s="57" t="s">
        <v>1552</v>
      </c>
      <c r="E16" s="23" t="s">
        <v>714</v>
      </c>
      <c r="F16" s="21" t="s">
        <v>1272</v>
      </c>
      <c r="G16" s="154"/>
      <c r="H16" s="15"/>
      <c r="I16" s="124"/>
      <c r="K16" s="175"/>
    </row>
    <row r="17" spans="1:11" ht="38.25">
      <c r="A17" s="21">
        <f t="shared" si="0"/>
        <v>16</v>
      </c>
      <c r="B17" s="57" t="s">
        <v>1489</v>
      </c>
      <c r="C17" s="57" t="s">
        <v>1521</v>
      </c>
      <c r="D17" s="57" t="s">
        <v>1553</v>
      </c>
      <c r="E17" s="23" t="s">
        <v>714</v>
      </c>
      <c r="F17" s="21" t="s">
        <v>1272</v>
      </c>
      <c r="G17" s="154"/>
      <c r="H17" s="15"/>
      <c r="I17" s="124"/>
      <c r="K17" s="175"/>
    </row>
    <row r="18" spans="1:11" ht="38.25">
      <c r="A18" s="21">
        <f t="shared" si="0"/>
        <v>17</v>
      </c>
      <c r="B18" s="57" t="s">
        <v>1490</v>
      </c>
      <c r="C18" s="57" t="s">
        <v>1522</v>
      </c>
      <c r="D18" s="57" t="s">
        <v>1554</v>
      </c>
      <c r="E18" s="23" t="s">
        <v>714</v>
      </c>
      <c r="F18" s="21" t="s">
        <v>1272</v>
      </c>
      <c r="G18" s="154"/>
      <c r="H18" s="15"/>
      <c r="I18" s="124"/>
      <c r="K18" s="175"/>
    </row>
    <row r="19" spans="1:11" ht="25.5">
      <c r="A19" s="21">
        <f t="shared" si="0"/>
        <v>18</v>
      </c>
      <c r="B19" s="57" t="s">
        <v>1491</v>
      </c>
      <c r="C19" s="57" t="s">
        <v>1523</v>
      </c>
      <c r="D19" s="57" t="s">
        <v>1555</v>
      </c>
      <c r="E19" s="23" t="s">
        <v>714</v>
      </c>
      <c r="F19" s="21" t="s">
        <v>1273</v>
      </c>
      <c r="G19" s="154"/>
      <c r="H19" s="15"/>
      <c r="I19" s="124"/>
      <c r="K19" s="175"/>
    </row>
    <row r="20" spans="1:11" ht="63.75">
      <c r="A20" s="21">
        <f t="shared" si="0"/>
        <v>19</v>
      </c>
      <c r="B20" s="57" t="s">
        <v>1492</v>
      </c>
      <c r="C20" s="57" t="s">
        <v>1524</v>
      </c>
      <c r="D20" s="57" t="s">
        <v>1556</v>
      </c>
      <c r="E20" s="23" t="s">
        <v>714</v>
      </c>
      <c r="F20" s="21" t="s">
        <v>1272</v>
      </c>
      <c r="G20" s="154"/>
      <c r="H20" s="15"/>
      <c r="I20" s="124"/>
      <c r="K20" s="175"/>
    </row>
    <row r="21" spans="1:11" ht="89.25">
      <c r="A21" s="21">
        <f t="shared" si="0"/>
        <v>20</v>
      </c>
      <c r="B21" s="57" t="s">
        <v>1493</v>
      </c>
      <c r="C21" s="57" t="s">
        <v>1525</v>
      </c>
      <c r="D21" s="57" t="s">
        <v>1557</v>
      </c>
      <c r="E21" s="23" t="s">
        <v>714</v>
      </c>
      <c r="F21" s="21" t="s">
        <v>1381</v>
      </c>
      <c r="G21" s="154"/>
      <c r="H21" s="15"/>
      <c r="I21" s="124"/>
      <c r="K21" s="175"/>
    </row>
    <row r="22" spans="1:11" ht="38.25">
      <c r="A22" s="21">
        <f t="shared" si="0"/>
        <v>21</v>
      </c>
      <c r="B22" s="57" t="s">
        <v>1494</v>
      </c>
      <c r="C22" s="57" t="s">
        <v>1526</v>
      </c>
      <c r="D22" s="57" t="s">
        <v>1558</v>
      </c>
      <c r="E22" s="23" t="s">
        <v>714</v>
      </c>
      <c r="F22" s="21" t="s">
        <v>1273</v>
      </c>
      <c r="G22" s="154"/>
      <c r="H22" s="15"/>
      <c r="I22" s="124"/>
      <c r="K22" s="175"/>
    </row>
    <row r="23" spans="1:11" ht="38.25">
      <c r="A23" s="21">
        <f t="shared" si="0"/>
        <v>22</v>
      </c>
      <c r="B23" s="57" t="s">
        <v>1495</v>
      </c>
      <c r="C23" s="57" t="s">
        <v>1527</v>
      </c>
      <c r="D23" s="57" t="s">
        <v>1559</v>
      </c>
      <c r="E23" s="23" t="s">
        <v>714</v>
      </c>
      <c r="F23" s="21" t="s">
        <v>1273</v>
      </c>
      <c r="G23" s="154"/>
      <c r="H23" s="15"/>
      <c r="I23" s="124"/>
      <c r="K23" s="175"/>
    </row>
    <row r="24" spans="1:11" ht="38.25">
      <c r="A24" s="21">
        <f t="shared" si="0"/>
        <v>23</v>
      </c>
      <c r="B24" s="57" t="s">
        <v>1496</v>
      </c>
      <c r="C24" s="57" t="s">
        <v>1528</v>
      </c>
      <c r="D24" s="57" t="s">
        <v>1560</v>
      </c>
      <c r="E24" s="23" t="s">
        <v>714</v>
      </c>
      <c r="F24" s="21" t="s">
        <v>1272</v>
      </c>
      <c r="G24" s="154"/>
      <c r="H24" s="15"/>
      <c r="I24" s="124"/>
      <c r="K24" s="175"/>
    </row>
    <row r="25" spans="1:11" ht="38.25">
      <c r="A25" s="21">
        <f t="shared" si="0"/>
        <v>24</v>
      </c>
      <c r="B25" s="171" t="s">
        <v>1497</v>
      </c>
      <c r="C25" s="57" t="s">
        <v>1529</v>
      </c>
      <c r="D25" s="57" t="s">
        <v>1561</v>
      </c>
      <c r="E25" s="23" t="s">
        <v>714</v>
      </c>
      <c r="F25" s="21" t="s">
        <v>1273</v>
      </c>
      <c r="G25" s="154"/>
      <c r="H25" s="15"/>
      <c r="I25" s="124"/>
      <c r="K25" s="175"/>
    </row>
    <row r="26" spans="1:11" ht="38.25">
      <c r="A26" s="21">
        <f t="shared" si="0"/>
        <v>25</v>
      </c>
      <c r="B26" s="57" t="s">
        <v>1498</v>
      </c>
      <c r="C26" s="57" t="s">
        <v>1530</v>
      </c>
      <c r="D26" s="57" t="s">
        <v>1562</v>
      </c>
      <c r="E26" s="23" t="s">
        <v>714</v>
      </c>
      <c r="F26" s="21" t="s">
        <v>1273</v>
      </c>
      <c r="G26" s="154"/>
      <c r="H26" s="15"/>
      <c r="I26" s="124"/>
      <c r="K26" s="175"/>
    </row>
    <row r="27" spans="1:11" ht="63.75">
      <c r="A27" s="21">
        <f t="shared" si="0"/>
        <v>26</v>
      </c>
      <c r="B27" s="57" t="s">
        <v>1499</v>
      </c>
      <c r="C27" s="57" t="s">
        <v>1531</v>
      </c>
      <c r="D27" s="57" t="s">
        <v>1563</v>
      </c>
      <c r="E27" s="23" t="s">
        <v>709</v>
      </c>
      <c r="F27" s="21" t="s">
        <v>1302</v>
      </c>
      <c r="G27" s="154"/>
      <c r="H27" s="15"/>
      <c r="I27" s="124"/>
      <c r="K27" s="175"/>
    </row>
    <row r="28" spans="1:11" ht="51">
      <c r="A28" s="21">
        <f t="shared" si="0"/>
        <v>27</v>
      </c>
      <c r="B28" s="57" t="s">
        <v>1500</v>
      </c>
      <c r="C28" s="57" t="s">
        <v>1532</v>
      </c>
      <c r="D28" s="57" t="s">
        <v>1564</v>
      </c>
      <c r="E28" s="23" t="s">
        <v>714</v>
      </c>
      <c r="F28" s="21" t="s">
        <v>1383</v>
      </c>
      <c r="G28" s="154"/>
      <c r="H28" s="15"/>
      <c r="I28" s="124"/>
      <c r="K28" s="176"/>
    </row>
    <row r="29" spans="1:11" ht="38.25">
      <c r="A29" s="21">
        <f t="shared" si="0"/>
        <v>28</v>
      </c>
      <c r="B29" s="57" t="s">
        <v>1501</v>
      </c>
      <c r="C29" s="57" t="s">
        <v>1533</v>
      </c>
      <c r="D29" s="57" t="s">
        <v>1565</v>
      </c>
      <c r="E29" s="23" t="s">
        <v>714</v>
      </c>
      <c r="F29" s="21" t="s">
        <v>1383</v>
      </c>
      <c r="G29" s="154"/>
      <c r="H29" s="15"/>
      <c r="I29" s="124"/>
      <c r="K29" s="176"/>
    </row>
    <row r="30" spans="1:11" ht="25.5">
      <c r="A30" s="21">
        <f t="shared" si="0"/>
        <v>29</v>
      </c>
      <c r="B30" s="57" t="s">
        <v>1502</v>
      </c>
      <c r="C30" s="57" t="s">
        <v>1534</v>
      </c>
      <c r="D30" s="57" t="s">
        <v>1566</v>
      </c>
      <c r="E30" s="23" t="s">
        <v>714</v>
      </c>
      <c r="F30" s="21" t="s">
        <v>1273</v>
      </c>
      <c r="G30" s="154"/>
      <c r="H30" s="15"/>
      <c r="I30" s="124"/>
      <c r="K30" s="176"/>
    </row>
    <row r="31" spans="1:11" ht="114.75">
      <c r="A31" s="21">
        <f t="shared" si="0"/>
        <v>30</v>
      </c>
      <c r="B31" s="57" t="s">
        <v>1503</v>
      </c>
      <c r="C31" s="57" t="s">
        <v>1535</v>
      </c>
      <c r="D31" s="57" t="s">
        <v>1567</v>
      </c>
      <c r="E31" s="23" t="s">
        <v>709</v>
      </c>
      <c r="F31" s="21" t="s">
        <v>1272</v>
      </c>
      <c r="G31" s="154"/>
      <c r="H31" s="15"/>
      <c r="I31" s="124"/>
      <c r="K31" s="176"/>
    </row>
    <row r="32" spans="1:11" ht="25.5">
      <c r="A32" s="21">
        <f t="shared" si="0"/>
        <v>31</v>
      </c>
      <c r="B32" s="57" t="s">
        <v>1504</v>
      </c>
      <c r="C32" s="57" t="s">
        <v>1536</v>
      </c>
      <c r="D32" s="57" t="s">
        <v>1568</v>
      </c>
      <c r="E32" s="23" t="s">
        <v>714</v>
      </c>
      <c r="F32" s="21" t="s">
        <v>1272</v>
      </c>
      <c r="G32" s="154"/>
      <c r="H32" s="15"/>
      <c r="I32" s="124"/>
      <c r="K32" s="176"/>
    </row>
    <row r="33" spans="1:11" ht="25.5">
      <c r="A33" s="21">
        <f t="shared" si="0"/>
        <v>32</v>
      </c>
      <c r="B33" s="57" t="s">
        <v>1505</v>
      </c>
      <c r="C33" s="57" t="s">
        <v>1537</v>
      </c>
      <c r="D33" s="57" t="s">
        <v>1569</v>
      </c>
      <c r="E33" s="23" t="s">
        <v>714</v>
      </c>
      <c r="F33" s="21" t="s">
        <v>1381</v>
      </c>
      <c r="G33" s="154"/>
      <c r="H33" s="15"/>
      <c r="I33" s="124"/>
      <c r="K33" s="176"/>
    </row>
    <row r="34" spans="1:11">
      <c r="A34" s="21">
        <f t="shared" si="0"/>
        <v>33</v>
      </c>
      <c r="B34" s="397" t="s">
        <v>76</v>
      </c>
      <c r="C34" s="397"/>
      <c r="D34" s="397"/>
      <c r="E34" s="397"/>
      <c r="F34" s="397"/>
      <c r="G34" s="397"/>
      <c r="H34" s="162">
        <f>SUM(H2:H33)</f>
        <v>0</v>
      </c>
      <c r="K34" s="176"/>
    </row>
    <row r="35" spans="1:11">
      <c r="A35" s="21">
        <f t="shared" si="0"/>
        <v>34</v>
      </c>
      <c r="B35" s="397" t="s">
        <v>1193</v>
      </c>
      <c r="C35" s="397"/>
      <c r="D35" s="397"/>
      <c r="E35" s="397"/>
      <c r="F35" s="397"/>
      <c r="G35" s="397"/>
      <c r="H35" s="162">
        <f>H34*0.18</f>
        <v>0</v>
      </c>
    </row>
    <row r="36" spans="1:11">
      <c r="A36" s="21">
        <f t="shared" si="0"/>
        <v>35</v>
      </c>
      <c r="B36" s="397" t="s">
        <v>742</v>
      </c>
      <c r="C36" s="397"/>
      <c r="D36" s="397"/>
      <c r="E36" s="397"/>
      <c r="F36" s="397"/>
      <c r="G36" s="397"/>
      <c r="H36" s="162">
        <f>SUM(H34:H35)</f>
        <v>0</v>
      </c>
    </row>
    <row r="37" spans="1:11">
      <c r="A37" s="398"/>
      <c r="B37" s="399"/>
      <c r="C37" s="399"/>
      <c r="D37" s="399"/>
      <c r="E37" s="399"/>
      <c r="F37" s="399"/>
      <c r="G37" s="399"/>
      <c r="H37" s="400"/>
    </row>
    <row r="38" spans="1:11" ht="180.95" customHeight="1">
      <c r="A38" s="128" t="s">
        <v>80</v>
      </c>
      <c r="B38" s="360" t="s">
        <v>788</v>
      </c>
      <c r="C38" s="360"/>
      <c r="D38" s="414"/>
      <c r="E38" s="360"/>
      <c r="F38" s="360"/>
      <c r="G38" s="360"/>
      <c r="H38" s="361"/>
    </row>
  </sheetData>
  <mergeCells count="5">
    <mergeCell ref="B34:G34"/>
    <mergeCell ref="B35:G35"/>
    <mergeCell ref="B36:G36"/>
    <mergeCell ref="A37:H37"/>
    <mergeCell ref="B38:H38"/>
  </mergeCells>
  <printOptions horizontalCentered="1"/>
  <pageMargins left="0.31496062992125984" right="0.31496062992125984" top="0.55118110236220474" bottom="0.55118110236220474" header="0.31496062992125984" footer="0.31496062992125984"/>
  <pageSetup orientation="landscape" horizontalDpi="4294967292" r:id="rId1"/>
  <headerFooter>
    <oddFooter>Page &amp;P of &amp;N</oddFooter>
  </headerFooter>
  <legacy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Sheet76"/>
  <dimension ref="A1:K9"/>
  <sheetViews>
    <sheetView zoomScaleNormal="100" workbookViewId="0">
      <selection activeCell="I8" sqref="I8"/>
    </sheetView>
  </sheetViews>
  <sheetFormatPr defaultColWidth="9.140625" defaultRowHeight="12.75"/>
  <cols>
    <col min="1" max="1" width="5.85546875" style="119" bestFit="1" customWidth="1"/>
    <col min="2" max="2" width="17.28515625" style="119" bestFit="1" customWidth="1"/>
    <col min="3" max="3" width="19.28515625" style="119" customWidth="1"/>
    <col min="4" max="4" width="50.85546875" style="119" customWidth="1"/>
    <col min="5" max="6" width="11.5703125" style="119" customWidth="1"/>
    <col min="7" max="7" width="17" style="119" customWidth="1"/>
    <col min="8" max="8" width="15.42578125" style="119" customWidth="1"/>
    <col min="9" max="9" width="11.42578125" style="119" bestFit="1" customWidth="1"/>
    <col min="10" max="10" width="9.140625" style="119"/>
    <col min="11" max="11" width="9.7109375" style="119" bestFit="1" customWidth="1"/>
    <col min="12" max="16384" width="9.140625" style="119"/>
  </cols>
  <sheetData>
    <row r="1" spans="1:11">
      <c r="A1" s="152" t="s">
        <v>0</v>
      </c>
      <c r="B1" s="152" t="s">
        <v>1</v>
      </c>
      <c r="C1" s="117" t="s">
        <v>778</v>
      </c>
      <c r="D1" s="173" t="s">
        <v>67</v>
      </c>
      <c r="E1" s="117" t="s">
        <v>3</v>
      </c>
      <c r="F1" s="117" t="s">
        <v>1582</v>
      </c>
      <c r="G1" s="152" t="s">
        <v>1583</v>
      </c>
      <c r="H1" s="152" t="s">
        <v>1584</v>
      </c>
      <c r="I1" s="119" t="s">
        <v>1250</v>
      </c>
      <c r="J1" s="119" t="s">
        <v>145</v>
      </c>
      <c r="K1" s="119" t="s">
        <v>119</v>
      </c>
    </row>
    <row r="2" spans="1:11" ht="25.5">
      <c r="A2" s="21">
        <f>ROW()-1</f>
        <v>1</v>
      </c>
      <c r="B2" s="21" t="s">
        <v>522</v>
      </c>
      <c r="C2" s="57" t="s">
        <v>1576</v>
      </c>
      <c r="D2" s="57" t="s">
        <v>1579</v>
      </c>
      <c r="E2" s="23" t="s">
        <v>1581</v>
      </c>
      <c r="F2" s="21">
        <v>16</v>
      </c>
      <c r="G2" s="184">
        <f>90*1.3*I2</f>
        <v>5265</v>
      </c>
      <c r="H2" s="185">
        <f>G2*F2</f>
        <v>84240</v>
      </c>
      <c r="I2" s="187">
        <v>45</v>
      </c>
      <c r="J2" s="187">
        <v>43</v>
      </c>
      <c r="K2" s="167"/>
    </row>
    <row r="3" spans="1:11" ht="25.5">
      <c r="A3" s="21">
        <f t="shared" ref="A3:A7" si="0">ROW()-1</f>
        <v>2</v>
      </c>
      <c r="B3" s="21" t="s">
        <v>522</v>
      </c>
      <c r="C3" s="57" t="s">
        <v>1576</v>
      </c>
      <c r="D3" s="57" t="s">
        <v>1578</v>
      </c>
      <c r="E3" s="23" t="s">
        <v>1581</v>
      </c>
      <c r="F3" s="21">
        <v>16</v>
      </c>
      <c r="G3" s="184">
        <f>90*1.3*I3</f>
        <v>5265</v>
      </c>
      <c r="H3" s="185">
        <f>G3*F3</f>
        <v>84240</v>
      </c>
      <c r="I3" s="187">
        <v>45</v>
      </c>
      <c r="J3" s="187">
        <v>43</v>
      </c>
      <c r="K3" s="167"/>
    </row>
    <row r="4" spans="1:11" ht="25.5">
      <c r="A4" s="21">
        <f t="shared" si="0"/>
        <v>3</v>
      </c>
      <c r="B4" s="21" t="s">
        <v>522</v>
      </c>
      <c r="C4" s="57" t="s">
        <v>1577</v>
      </c>
      <c r="D4" s="57" t="s">
        <v>1580</v>
      </c>
      <c r="E4" s="23" t="s">
        <v>1581</v>
      </c>
      <c r="F4" s="21">
        <v>16</v>
      </c>
      <c r="G4" s="184">
        <f>90*1.3*I4</f>
        <v>8190</v>
      </c>
      <c r="H4" s="185">
        <f>G4*F4</f>
        <v>131040</v>
      </c>
      <c r="I4" s="187">
        <v>70</v>
      </c>
      <c r="J4" s="187">
        <v>68</v>
      </c>
      <c r="K4"/>
    </row>
    <row r="5" spans="1:11">
      <c r="A5" s="21">
        <f t="shared" si="0"/>
        <v>4</v>
      </c>
      <c r="B5" s="397" t="s">
        <v>76</v>
      </c>
      <c r="C5" s="397"/>
      <c r="D5" s="397"/>
      <c r="E5" s="397"/>
      <c r="F5" s="397"/>
      <c r="G5" s="397"/>
      <c r="H5" s="186">
        <f>SUM(H2:H4)</f>
        <v>299520</v>
      </c>
      <c r="I5" s="188"/>
      <c r="K5" s="176"/>
    </row>
    <row r="6" spans="1:11">
      <c r="A6" s="21">
        <f t="shared" si="0"/>
        <v>5</v>
      </c>
      <c r="B6" s="397" t="s">
        <v>1586</v>
      </c>
      <c r="C6" s="397"/>
      <c r="D6" s="397"/>
      <c r="E6" s="397"/>
      <c r="F6" s="397"/>
      <c r="G6" s="397"/>
      <c r="H6" s="186">
        <f>H5*18%</f>
        <v>53913.599999999999</v>
      </c>
    </row>
    <row r="7" spans="1:11">
      <c r="A7" s="21">
        <f t="shared" si="0"/>
        <v>6</v>
      </c>
      <c r="B7" s="397" t="s">
        <v>742</v>
      </c>
      <c r="C7" s="397"/>
      <c r="D7" s="397"/>
      <c r="E7" s="397"/>
      <c r="F7" s="397"/>
      <c r="G7" s="397"/>
      <c r="H7" s="186">
        <f>SUM(H5:H6)</f>
        <v>353433.59999999998</v>
      </c>
    </row>
    <row r="8" spans="1:11">
      <c r="A8" s="398"/>
      <c r="B8" s="399"/>
      <c r="C8" s="399"/>
      <c r="D8" s="399"/>
      <c r="E8" s="399"/>
      <c r="F8" s="399"/>
      <c r="G8" s="399"/>
      <c r="H8" s="400"/>
    </row>
    <row r="9" spans="1:11" ht="140.25">
      <c r="A9" s="128" t="s">
        <v>80</v>
      </c>
      <c r="B9" s="360" t="s">
        <v>1585</v>
      </c>
      <c r="C9" s="360"/>
      <c r="D9" s="414"/>
      <c r="E9" s="360"/>
      <c r="F9" s="360"/>
      <c r="G9" s="360"/>
      <c r="H9" s="361"/>
    </row>
  </sheetData>
  <mergeCells count="5">
    <mergeCell ref="B5:G5"/>
    <mergeCell ref="B6:G6"/>
    <mergeCell ref="B7:G7"/>
    <mergeCell ref="A8:H8"/>
    <mergeCell ref="B9:H9"/>
  </mergeCells>
  <printOptions horizontalCentered="1"/>
  <pageMargins left="0.31496062992125984" right="0.31496062992125984" top="0.55118110236220474" bottom="0.55118110236220474" header="0.31496062992125984" footer="0.31496062992125984"/>
  <pageSetup orientation="landscape" horizontalDpi="4294967292" r:id="rId1"/>
  <headerFooter>
    <oddFooter>Page &amp;P of &amp;N</oddFooter>
  </headerFooter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Sheet77"/>
  <dimension ref="A1:J7"/>
  <sheetViews>
    <sheetView zoomScaleNormal="100" workbookViewId="0">
      <selection activeCell="C2" sqref="C2"/>
    </sheetView>
  </sheetViews>
  <sheetFormatPr defaultColWidth="9.140625" defaultRowHeight="12.75"/>
  <cols>
    <col min="1" max="1" width="5.85546875" style="119" bestFit="1" customWidth="1"/>
    <col min="2" max="2" width="17.28515625" style="119" bestFit="1" customWidth="1"/>
    <col min="3" max="3" width="50.85546875" style="119" customWidth="1"/>
    <col min="4" max="5" width="11.5703125" style="119" customWidth="1"/>
    <col min="6" max="6" width="17" style="119" customWidth="1"/>
    <col min="7" max="7" width="15.42578125" style="119" customWidth="1"/>
    <col min="8" max="8" width="11.42578125" style="119" bestFit="1" customWidth="1"/>
    <col min="9" max="9" width="9.140625" style="119"/>
    <col min="10" max="10" width="9.7109375" style="119" bestFit="1" customWidth="1"/>
    <col min="11" max="16384" width="9.140625" style="119"/>
  </cols>
  <sheetData>
    <row r="1" spans="1:10">
      <c r="A1" s="152" t="s">
        <v>0</v>
      </c>
      <c r="B1" s="117" t="s">
        <v>778</v>
      </c>
      <c r="C1" s="173" t="s">
        <v>67</v>
      </c>
      <c r="D1" s="117" t="s">
        <v>3</v>
      </c>
      <c r="E1" s="117" t="s">
        <v>1582</v>
      </c>
      <c r="F1" s="152" t="s">
        <v>1583</v>
      </c>
      <c r="G1" s="152" t="s">
        <v>1584</v>
      </c>
      <c r="H1" s="119" t="s">
        <v>1250</v>
      </c>
      <c r="I1" s="119" t="s">
        <v>145</v>
      </c>
      <c r="J1" s="119" t="s">
        <v>119</v>
      </c>
    </row>
    <row r="2" spans="1:10">
      <c r="A2" s="21">
        <f>ROW()-1</f>
        <v>1</v>
      </c>
      <c r="B2" s="21" t="s">
        <v>1597</v>
      </c>
      <c r="C2" s="57" t="s">
        <v>1598</v>
      </c>
      <c r="D2" s="23" t="s">
        <v>1581</v>
      </c>
      <c r="E2" s="21">
        <v>4</v>
      </c>
      <c r="F2" s="184">
        <f>H2*90*1.3</f>
        <v>84240</v>
      </c>
      <c r="G2" s="185">
        <f>F2*E2</f>
        <v>336960</v>
      </c>
      <c r="H2" s="187">
        <v>720</v>
      </c>
      <c r="I2" s="187">
        <v>720</v>
      </c>
      <c r="J2" s="167"/>
    </row>
    <row r="3" spans="1:10">
      <c r="A3" s="21">
        <f t="shared" ref="A3:A5" si="0">ROW()-1</f>
        <v>2</v>
      </c>
      <c r="B3" s="397" t="s">
        <v>76</v>
      </c>
      <c r="C3" s="397"/>
      <c r="D3" s="397"/>
      <c r="E3" s="397"/>
      <c r="F3" s="397"/>
      <c r="G3" s="186">
        <f>SUM(G2:G2)</f>
        <v>336960</v>
      </c>
      <c r="H3" s="188"/>
      <c r="J3" s="176"/>
    </row>
    <row r="4" spans="1:10">
      <c r="A4" s="21">
        <f t="shared" si="0"/>
        <v>3</v>
      </c>
      <c r="B4" s="397" t="s">
        <v>1599</v>
      </c>
      <c r="C4" s="397"/>
      <c r="D4" s="397"/>
      <c r="E4" s="397"/>
      <c r="F4" s="397"/>
      <c r="G4" s="186">
        <f>G3*18%</f>
        <v>60652.799999999996</v>
      </c>
    </row>
    <row r="5" spans="1:10">
      <c r="A5" s="21">
        <f t="shared" si="0"/>
        <v>4</v>
      </c>
      <c r="B5" s="397" t="s">
        <v>742</v>
      </c>
      <c r="C5" s="397"/>
      <c r="D5" s="397"/>
      <c r="E5" s="397"/>
      <c r="F5" s="397"/>
      <c r="G5" s="186">
        <f>SUM(G3:G4)</f>
        <v>397612.79999999999</v>
      </c>
    </row>
    <row r="6" spans="1:10">
      <c r="A6" s="398"/>
      <c r="B6" s="399"/>
      <c r="C6" s="399"/>
      <c r="D6" s="399"/>
      <c r="E6" s="399"/>
      <c r="F6" s="399"/>
      <c r="G6" s="400"/>
    </row>
    <row r="7" spans="1:10" ht="140.25">
      <c r="A7" s="128" t="s">
        <v>80</v>
      </c>
      <c r="B7" s="360" t="s">
        <v>1585</v>
      </c>
      <c r="C7" s="414"/>
      <c r="D7" s="360"/>
      <c r="E7" s="360"/>
      <c r="F7" s="360"/>
      <c r="G7" s="361"/>
    </row>
  </sheetData>
  <mergeCells count="5">
    <mergeCell ref="B3:F3"/>
    <mergeCell ref="B4:F4"/>
    <mergeCell ref="B5:F5"/>
    <mergeCell ref="A6:G6"/>
    <mergeCell ref="B7:G7"/>
  </mergeCells>
  <printOptions horizontalCentered="1"/>
  <pageMargins left="0.31496062992125984" right="0.31496062992125984" top="0.55118110236220474" bottom="0.55118110236220474" header="0.31496062992125984" footer="0.31496062992125984"/>
  <pageSetup orientation="landscape" horizontalDpi="4294967292" r:id="rId1"/>
  <headerFooter>
    <oddFooter>Page &amp;P of &amp;N</oddFooter>
  </headerFooter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Sheet78"/>
  <dimension ref="A1:K7"/>
  <sheetViews>
    <sheetView zoomScaleNormal="100" workbookViewId="0">
      <selection activeCell="D2" sqref="D2"/>
    </sheetView>
  </sheetViews>
  <sheetFormatPr defaultColWidth="9.140625" defaultRowHeight="12.75"/>
  <cols>
    <col min="1" max="1" width="5.85546875" style="119" bestFit="1" customWidth="1"/>
    <col min="2" max="2" width="12.85546875" style="119" customWidth="1"/>
    <col min="3" max="3" width="17.28515625" style="119" bestFit="1" customWidth="1"/>
    <col min="4" max="4" width="50.85546875" style="119" customWidth="1"/>
    <col min="5" max="6" width="11.5703125" style="119" customWidth="1"/>
    <col min="7" max="7" width="17" style="119" customWidth="1"/>
    <col min="8" max="8" width="15.42578125" style="119" customWidth="1"/>
    <col min="9" max="9" width="11.42578125" style="119" bestFit="1" customWidth="1"/>
    <col min="10" max="10" width="11.140625" style="119" bestFit="1" customWidth="1"/>
    <col min="11" max="11" width="9.7109375" style="119" bestFit="1" customWidth="1"/>
    <col min="12" max="16384" width="9.140625" style="119"/>
  </cols>
  <sheetData>
    <row r="1" spans="1:11">
      <c r="A1" s="152" t="s">
        <v>0</v>
      </c>
      <c r="B1" s="152" t="s">
        <v>503</v>
      </c>
      <c r="C1" s="117" t="s">
        <v>778</v>
      </c>
      <c r="D1" s="173" t="s">
        <v>67</v>
      </c>
      <c r="E1" s="117" t="s">
        <v>3</v>
      </c>
      <c r="F1" s="117" t="s">
        <v>1582</v>
      </c>
      <c r="G1" s="152" t="s">
        <v>1583</v>
      </c>
      <c r="H1" s="152" t="s">
        <v>1584</v>
      </c>
      <c r="I1" s="119" t="s">
        <v>1250</v>
      </c>
      <c r="J1" s="119" t="s">
        <v>1602</v>
      </c>
      <c r="K1" s="119" t="s">
        <v>119</v>
      </c>
    </row>
    <row r="2" spans="1:11" ht="25.5">
      <c r="A2" s="21">
        <f>ROW()-1</f>
        <v>1</v>
      </c>
      <c r="B2" s="21">
        <v>3000118574</v>
      </c>
      <c r="C2" s="21" t="s">
        <v>1601</v>
      </c>
      <c r="D2" s="57" t="s">
        <v>1600</v>
      </c>
      <c r="E2" s="23" t="s">
        <v>1581</v>
      </c>
      <c r="F2" s="21">
        <v>2</v>
      </c>
      <c r="G2" s="184">
        <f>I2</f>
        <v>52000</v>
      </c>
      <c r="H2" s="185">
        <f>G2*F2</f>
        <v>104000</v>
      </c>
      <c r="I2" s="187">
        <v>52000</v>
      </c>
      <c r="J2" s="188">
        <v>36195</v>
      </c>
      <c r="K2" s="167"/>
    </row>
    <row r="3" spans="1:11">
      <c r="A3" s="21">
        <f t="shared" ref="A3:A5" si="0">ROW()-1</f>
        <v>2</v>
      </c>
      <c r="B3" s="169"/>
      <c r="C3" s="397" t="s">
        <v>76</v>
      </c>
      <c r="D3" s="397"/>
      <c r="E3" s="397"/>
      <c r="F3" s="397"/>
      <c r="G3" s="397"/>
      <c r="H3" s="186">
        <f>SUM(H2:H2)</f>
        <v>104000</v>
      </c>
      <c r="I3" s="188"/>
      <c r="K3" s="176"/>
    </row>
    <row r="4" spans="1:11">
      <c r="A4" s="21">
        <f t="shared" si="0"/>
        <v>3</v>
      </c>
      <c r="B4" s="169"/>
      <c r="C4" s="397" t="s">
        <v>1599</v>
      </c>
      <c r="D4" s="397"/>
      <c r="E4" s="397"/>
      <c r="F4" s="397"/>
      <c r="G4" s="397"/>
      <c r="H4" s="186">
        <f>H3*18%</f>
        <v>18720</v>
      </c>
    </row>
    <row r="5" spans="1:11">
      <c r="A5" s="21">
        <f t="shared" si="0"/>
        <v>4</v>
      </c>
      <c r="B5" s="169"/>
      <c r="C5" s="397" t="s">
        <v>742</v>
      </c>
      <c r="D5" s="397"/>
      <c r="E5" s="397"/>
      <c r="F5" s="397"/>
      <c r="G5" s="397"/>
      <c r="H5" s="186">
        <f>SUM(H3:H4)</f>
        <v>122720</v>
      </c>
      <c r="J5" s="188"/>
    </row>
    <row r="6" spans="1:11">
      <c r="A6" s="398"/>
      <c r="B6" s="399"/>
      <c r="C6" s="399"/>
      <c r="D6" s="399"/>
      <c r="E6" s="399"/>
      <c r="F6" s="399"/>
      <c r="G6" s="399"/>
      <c r="H6" s="400"/>
      <c r="J6" s="188"/>
    </row>
    <row r="7" spans="1:11" ht="140.25" customHeight="1">
      <c r="A7" s="128" t="s">
        <v>80</v>
      </c>
      <c r="B7" s="360" t="s">
        <v>1585</v>
      </c>
      <c r="C7" s="360"/>
      <c r="D7" s="360"/>
      <c r="E7" s="360"/>
      <c r="F7" s="360"/>
      <c r="G7" s="360"/>
      <c r="H7" s="361"/>
    </row>
  </sheetData>
  <mergeCells count="5">
    <mergeCell ref="C3:G3"/>
    <mergeCell ref="C4:G4"/>
    <mergeCell ref="C5:G5"/>
    <mergeCell ref="A6:H6"/>
    <mergeCell ref="B7:H7"/>
  </mergeCells>
  <printOptions horizontalCentered="1"/>
  <pageMargins left="0.31496062992125984" right="0.31496062992125984" top="0.55118110236220474" bottom="0.55118110236220474" header="0.31496062992125984" footer="0.31496062992125984"/>
  <pageSetup orientation="landscape" horizontalDpi="4294967292" r:id="rId1"/>
  <headerFooter>
    <oddFooter>Page &amp;P of &amp;N</oddFooter>
  </headerFooter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Sheet79"/>
  <dimension ref="A1:L8"/>
  <sheetViews>
    <sheetView zoomScaleNormal="100" workbookViewId="0">
      <selection activeCell="M6" sqref="M6"/>
    </sheetView>
  </sheetViews>
  <sheetFormatPr defaultColWidth="9.140625" defaultRowHeight="12.75"/>
  <cols>
    <col min="1" max="1" width="5.85546875" style="119" bestFit="1" customWidth="1"/>
    <col min="2" max="2" width="12.85546875" style="119" customWidth="1"/>
    <col min="3" max="3" width="17.28515625" style="119" bestFit="1" customWidth="1"/>
    <col min="4" max="4" width="17.28515625" style="119" customWidth="1"/>
    <col min="5" max="5" width="50.85546875" style="119" customWidth="1"/>
    <col min="6" max="7" width="11.5703125" style="119" customWidth="1"/>
    <col min="8" max="8" width="17" style="119" customWidth="1"/>
    <col min="9" max="9" width="15.42578125" style="119" customWidth="1"/>
    <col min="10" max="10" width="11.42578125" style="119" bestFit="1" customWidth="1"/>
    <col min="11" max="11" width="11.140625" style="119" bestFit="1" customWidth="1"/>
    <col min="12" max="12" width="9.7109375" style="119" bestFit="1" customWidth="1"/>
    <col min="13" max="16384" width="9.140625" style="119"/>
  </cols>
  <sheetData>
    <row r="1" spans="1:12">
      <c r="A1" s="152" t="s">
        <v>0</v>
      </c>
      <c r="B1" s="152" t="s">
        <v>503</v>
      </c>
      <c r="C1" s="117" t="s">
        <v>1604</v>
      </c>
      <c r="D1" s="117" t="s">
        <v>778</v>
      </c>
      <c r="E1" s="173" t="s">
        <v>67</v>
      </c>
      <c r="F1" s="117" t="s">
        <v>3</v>
      </c>
      <c r="G1" s="117" t="s">
        <v>1582</v>
      </c>
      <c r="H1" s="152" t="s">
        <v>1583</v>
      </c>
      <c r="I1" s="152" t="s">
        <v>1584</v>
      </c>
      <c r="J1" s="119" t="s">
        <v>1250</v>
      </c>
      <c r="K1" s="119" t="s">
        <v>1603</v>
      </c>
    </row>
    <row r="2" spans="1:12" ht="89.25">
      <c r="A2" s="21">
        <f>ROW()-1</f>
        <v>1</v>
      </c>
      <c r="B2" s="21">
        <v>3000118775</v>
      </c>
      <c r="C2" s="21" t="s">
        <v>1605</v>
      </c>
      <c r="D2" s="21" t="s">
        <v>1606</v>
      </c>
      <c r="E2" s="57" t="s">
        <v>1610</v>
      </c>
      <c r="F2" s="23" t="s">
        <v>382</v>
      </c>
      <c r="G2" s="21">
        <v>2</v>
      </c>
      <c r="H2" s="184">
        <f>J2*86*1.28</f>
        <v>1176755.2</v>
      </c>
      <c r="I2" s="185">
        <f>H2*G2</f>
        <v>2353510.3999999999</v>
      </c>
      <c r="J2" s="187">
        <v>10690</v>
      </c>
      <c r="K2" s="187">
        <v>10690</v>
      </c>
      <c r="L2" s="167"/>
    </row>
    <row r="3" spans="1:12" ht="63.75">
      <c r="A3" s="21">
        <f>ROW()-1</f>
        <v>2</v>
      </c>
      <c r="B3" s="21">
        <v>3000118775</v>
      </c>
      <c r="C3" s="169" t="s">
        <v>1608</v>
      </c>
      <c r="D3" s="169" t="s">
        <v>1607</v>
      </c>
      <c r="E3" s="168" t="s">
        <v>1609</v>
      </c>
      <c r="F3" s="199" t="s">
        <v>1581</v>
      </c>
      <c r="G3" s="169">
        <v>32</v>
      </c>
      <c r="H3" s="184">
        <f>J3*86*1.28</f>
        <v>3852.8</v>
      </c>
      <c r="I3" s="185">
        <f>H3*G3</f>
        <v>123289.60000000001</v>
      </c>
      <c r="J3" s="187">
        <v>35</v>
      </c>
      <c r="K3" s="187">
        <v>35</v>
      </c>
      <c r="L3" s="167"/>
    </row>
    <row r="4" spans="1:12">
      <c r="A4" s="21">
        <f t="shared" ref="A4:A6" si="0">ROW()-1</f>
        <v>3</v>
      </c>
      <c r="B4" s="169"/>
      <c r="C4" s="397" t="s">
        <v>76</v>
      </c>
      <c r="D4" s="397"/>
      <c r="E4" s="397"/>
      <c r="F4" s="397"/>
      <c r="G4" s="397"/>
      <c r="H4" s="397"/>
      <c r="I4" s="186">
        <f>SUM(I2:I3)</f>
        <v>2476800</v>
      </c>
      <c r="J4" s="188"/>
      <c r="L4" s="176"/>
    </row>
    <row r="5" spans="1:12">
      <c r="A5" s="21">
        <f t="shared" si="0"/>
        <v>4</v>
      </c>
      <c r="B5" s="169"/>
      <c r="C5" s="397" t="s">
        <v>1599</v>
      </c>
      <c r="D5" s="397"/>
      <c r="E5" s="397"/>
      <c r="F5" s="397"/>
      <c r="G5" s="397"/>
      <c r="H5" s="397"/>
      <c r="I5" s="186">
        <f>I4*18%</f>
        <v>445824</v>
      </c>
    </row>
    <row r="6" spans="1:12">
      <c r="A6" s="21">
        <f t="shared" si="0"/>
        <v>5</v>
      </c>
      <c r="B6" s="169"/>
      <c r="C6" s="397" t="s">
        <v>742</v>
      </c>
      <c r="D6" s="397"/>
      <c r="E6" s="397"/>
      <c r="F6" s="397"/>
      <c r="G6" s="397"/>
      <c r="H6" s="397"/>
      <c r="I6" s="186">
        <f>SUM(I4:I5)</f>
        <v>2922624</v>
      </c>
    </row>
    <row r="7" spans="1:12">
      <c r="A7" s="398"/>
      <c r="B7" s="399"/>
      <c r="C7" s="399"/>
      <c r="D7" s="399"/>
      <c r="E7" s="399"/>
      <c r="F7" s="399"/>
      <c r="G7" s="399"/>
      <c r="H7" s="399"/>
      <c r="I7" s="400"/>
    </row>
    <row r="8" spans="1:12" ht="140.25" customHeight="1">
      <c r="A8" s="128" t="s">
        <v>80</v>
      </c>
      <c r="B8" s="360" t="s">
        <v>1585</v>
      </c>
      <c r="C8" s="360"/>
      <c r="D8" s="360"/>
      <c r="E8" s="360"/>
      <c r="F8" s="360"/>
      <c r="G8" s="360"/>
      <c r="H8" s="360"/>
      <c r="I8" s="361"/>
    </row>
  </sheetData>
  <mergeCells count="5">
    <mergeCell ref="C4:H4"/>
    <mergeCell ref="C5:H5"/>
    <mergeCell ref="C6:H6"/>
    <mergeCell ref="A7:I7"/>
    <mergeCell ref="B8:I8"/>
  </mergeCells>
  <printOptions horizontalCentered="1"/>
  <pageMargins left="0.31496062992125984" right="0.31496062992125984" top="0.55118110236220474" bottom="0.55118110236220474" header="0.31496062992125984" footer="0.31496062992125984"/>
  <pageSetup orientation="landscape" horizontalDpi="4294967292" r:id="rId1"/>
  <headerFooter>
    <oddFooter>Page &amp;P of &amp;N</oddFooter>
  </headerFooter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codeName="Sheet80"/>
  <dimension ref="A1:L7"/>
  <sheetViews>
    <sheetView topLeftCell="C1" zoomScaleNormal="100" workbookViewId="0">
      <selection activeCell="J3" sqref="J3"/>
    </sheetView>
  </sheetViews>
  <sheetFormatPr defaultColWidth="9.140625" defaultRowHeight="12.75"/>
  <cols>
    <col min="1" max="1" width="5.85546875" style="119" bestFit="1" customWidth="1"/>
    <col min="2" max="2" width="12.85546875" style="119" customWidth="1"/>
    <col min="3" max="3" width="17.28515625" style="119" bestFit="1" customWidth="1"/>
    <col min="4" max="4" width="17.28515625" style="119" customWidth="1"/>
    <col min="5" max="5" width="50.85546875" style="119" customWidth="1"/>
    <col min="6" max="7" width="11.5703125" style="119" customWidth="1"/>
    <col min="8" max="8" width="17" style="119" customWidth="1"/>
    <col min="9" max="9" width="15.42578125" style="119" customWidth="1"/>
    <col min="10" max="10" width="12.5703125" style="119" bestFit="1" customWidth="1"/>
    <col min="11" max="11" width="11.140625" style="119" bestFit="1" customWidth="1"/>
    <col min="12" max="12" width="9.7109375" style="119" bestFit="1" customWidth="1"/>
    <col min="13" max="16384" width="9.140625" style="119"/>
  </cols>
  <sheetData>
    <row r="1" spans="1:12">
      <c r="A1" s="152" t="s">
        <v>0</v>
      </c>
      <c r="B1" s="152" t="s">
        <v>503</v>
      </c>
      <c r="C1" s="117" t="s">
        <v>1604</v>
      </c>
      <c r="D1" s="117" t="s">
        <v>778</v>
      </c>
      <c r="E1" s="173" t="s">
        <v>67</v>
      </c>
      <c r="F1" s="117" t="s">
        <v>3</v>
      </c>
      <c r="G1" s="117" t="s">
        <v>1582</v>
      </c>
      <c r="H1" s="152" t="s">
        <v>1583</v>
      </c>
      <c r="I1" s="152" t="s">
        <v>1584</v>
      </c>
      <c r="J1" s="119" t="s">
        <v>1250</v>
      </c>
      <c r="K1" s="119" t="s">
        <v>145</v>
      </c>
      <c r="L1" s="119" t="s">
        <v>119</v>
      </c>
    </row>
    <row r="2" spans="1:12" ht="38.25">
      <c r="A2" s="21">
        <f>ROW()-1</f>
        <v>1</v>
      </c>
      <c r="B2" s="21">
        <v>3000119306</v>
      </c>
      <c r="C2" s="21" t="s">
        <v>1611</v>
      </c>
      <c r="D2" s="57" t="s">
        <v>1612</v>
      </c>
      <c r="E2" s="57" t="s">
        <v>1613</v>
      </c>
      <c r="F2" s="23" t="s">
        <v>1614</v>
      </c>
      <c r="G2" s="21">
        <v>1</v>
      </c>
      <c r="H2" s="184">
        <f>J2*87*1.3</f>
        <v>235248</v>
      </c>
      <c r="I2" s="185">
        <f>H2*G2</f>
        <v>235248</v>
      </c>
      <c r="J2" s="187">
        <v>2080</v>
      </c>
      <c r="K2" s="187">
        <v>2080</v>
      </c>
      <c r="L2" s="187">
        <v>3100</v>
      </c>
    </row>
    <row r="3" spans="1:12">
      <c r="A3" s="21">
        <f t="shared" ref="A3:A5" si="0">ROW()-1</f>
        <v>2</v>
      </c>
      <c r="B3" s="169"/>
      <c r="C3" s="397" t="s">
        <v>76</v>
      </c>
      <c r="D3" s="397"/>
      <c r="E3" s="397"/>
      <c r="F3" s="397"/>
      <c r="G3" s="397"/>
      <c r="H3" s="397"/>
      <c r="I3" s="186">
        <f>SUM(I2:I2)</f>
        <v>235248</v>
      </c>
      <c r="J3" s="188">
        <v>236059</v>
      </c>
      <c r="K3" s="119" t="s">
        <v>1687</v>
      </c>
      <c r="L3" s="176"/>
    </row>
    <row r="4" spans="1:12">
      <c r="A4" s="21">
        <f t="shared" si="0"/>
        <v>3</v>
      </c>
      <c r="B4" s="169"/>
      <c r="C4" s="397" t="s">
        <v>1599</v>
      </c>
      <c r="D4" s="397"/>
      <c r="E4" s="397"/>
      <c r="F4" s="397"/>
      <c r="G4" s="397"/>
      <c r="H4" s="397"/>
      <c r="I4" s="186">
        <f>I3*18%</f>
        <v>42344.639999999999</v>
      </c>
    </row>
    <row r="5" spans="1:12">
      <c r="A5" s="21">
        <f t="shared" si="0"/>
        <v>4</v>
      </c>
      <c r="B5" s="169"/>
      <c r="C5" s="397" t="s">
        <v>742</v>
      </c>
      <c r="D5" s="397"/>
      <c r="E5" s="397"/>
      <c r="F5" s="397"/>
      <c r="G5" s="397"/>
      <c r="H5" s="397"/>
      <c r="I5" s="186">
        <f>SUM(I3:I4)</f>
        <v>277592.64</v>
      </c>
    </row>
    <row r="6" spans="1:12">
      <c r="A6" s="398"/>
      <c r="B6" s="399"/>
      <c r="C6" s="399"/>
      <c r="D6" s="399"/>
      <c r="E6" s="399"/>
      <c r="F6" s="399"/>
      <c r="G6" s="399"/>
      <c r="H6" s="399"/>
      <c r="I6" s="400"/>
    </row>
    <row r="7" spans="1:12" ht="140.25" customHeight="1">
      <c r="A7" s="128" t="s">
        <v>80</v>
      </c>
      <c r="B7" s="360" t="s">
        <v>1585</v>
      </c>
      <c r="C7" s="360"/>
      <c r="D7" s="360"/>
      <c r="E7" s="360"/>
      <c r="F7" s="360"/>
      <c r="G7" s="360"/>
      <c r="H7" s="360"/>
      <c r="I7" s="361"/>
    </row>
  </sheetData>
  <mergeCells count="5">
    <mergeCell ref="C3:H3"/>
    <mergeCell ref="C4:H4"/>
    <mergeCell ref="C5:H5"/>
    <mergeCell ref="A6:I6"/>
    <mergeCell ref="B7:I7"/>
  </mergeCells>
  <printOptions horizontalCentered="1"/>
  <pageMargins left="0.31496062992125984" right="0.31496062992125984" top="0.55118110236220474" bottom="0.55118110236220474" header="0.31496062992125984" footer="0.31496062992125984"/>
  <pageSetup orientation="landscape" horizontalDpi="4294967292" r:id="rId1"/>
  <headerFooter>
    <oddFooter>Page &amp;P of &amp;N</oddFooter>
  </headerFooter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 codeName="Sheet81"/>
  <dimension ref="A1:K8"/>
  <sheetViews>
    <sheetView zoomScaleNormal="100" workbookViewId="0">
      <selection activeCell="B1" sqref="B1"/>
    </sheetView>
  </sheetViews>
  <sheetFormatPr defaultColWidth="9.140625" defaultRowHeight="12.75"/>
  <cols>
    <col min="1" max="1" width="5.85546875" style="119" bestFit="1" customWidth="1"/>
    <col min="2" max="2" width="12.85546875" style="119" customWidth="1"/>
    <col min="3" max="3" width="17.28515625" style="119" bestFit="1" customWidth="1"/>
    <col min="4" max="4" width="17.28515625" style="119" customWidth="1"/>
    <col min="5" max="5" width="50.85546875" style="119" customWidth="1"/>
    <col min="6" max="6" width="11.5703125" style="119" customWidth="1"/>
    <col min="7" max="7" width="17" style="119" customWidth="1"/>
    <col min="8" max="8" width="15.42578125" style="119" customWidth="1"/>
    <col min="9" max="9" width="11.42578125" style="119" bestFit="1" customWidth="1"/>
    <col min="10" max="10" width="11.140625" style="119" bestFit="1" customWidth="1"/>
    <col min="11" max="11" width="9.7109375" style="119" bestFit="1" customWidth="1"/>
    <col min="12" max="16384" width="9.140625" style="119"/>
  </cols>
  <sheetData>
    <row r="1" spans="1:11">
      <c r="A1" s="152" t="s">
        <v>0</v>
      </c>
      <c r="B1" s="152" t="s">
        <v>503</v>
      </c>
      <c r="C1" s="117" t="s">
        <v>1604</v>
      </c>
      <c r="D1" s="117" t="s">
        <v>778</v>
      </c>
      <c r="E1" s="173" t="s">
        <v>67</v>
      </c>
      <c r="F1" s="117" t="s">
        <v>1582</v>
      </c>
      <c r="G1" s="152" t="s">
        <v>1583</v>
      </c>
      <c r="H1" s="152" t="s">
        <v>1584</v>
      </c>
      <c r="I1" s="119" t="s">
        <v>1250</v>
      </c>
      <c r="J1" s="119" t="s">
        <v>1603</v>
      </c>
    </row>
    <row r="2" spans="1:11" ht="63.75">
      <c r="A2" s="21">
        <f>ROW()-1</f>
        <v>1</v>
      </c>
      <c r="B2" s="21" t="s">
        <v>522</v>
      </c>
      <c r="C2" s="21" t="s">
        <v>1615</v>
      </c>
      <c r="D2" s="57" t="s">
        <v>522</v>
      </c>
      <c r="E2" s="57" t="s">
        <v>1616</v>
      </c>
      <c r="F2" s="21" t="s">
        <v>1618</v>
      </c>
      <c r="G2" s="184"/>
      <c r="H2" s="185"/>
      <c r="I2" s="187"/>
      <c r="J2" s="187"/>
      <c r="K2" s="167"/>
    </row>
    <row r="3" spans="1:11" ht="76.5">
      <c r="A3" s="21">
        <f>ROW()-1</f>
        <v>2</v>
      </c>
      <c r="B3" s="169" t="s">
        <v>522</v>
      </c>
      <c r="C3" s="169" t="s">
        <v>522</v>
      </c>
      <c r="D3" s="168" t="s">
        <v>522</v>
      </c>
      <c r="E3" s="168" t="s">
        <v>1617</v>
      </c>
      <c r="F3" s="21" t="s">
        <v>1618</v>
      </c>
      <c r="G3" s="200"/>
      <c r="H3" s="186"/>
      <c r="I3" s="187"/>
      <c r="J3" s="187"/>
      <c r="K3" s="167"/>
    </row>
    <row r="4" spans="1:11">
      <c r="A4" s="21">
        <f t="shared" ref="A4:A6" si="0">ROW()-1</f>
        <v>3</v>
      </c>
      <c r="B4" s="169"/>
      <c r="C4" s="397" t="s">
        <v>76</v>
      </c>
      <c r="D4" s="397"/>
      <c r="E4" s="397"/>
      <c r="F4" s="397"/>
      <c r="G4" s="397"/>
      <c r="H4" s="186">
        <f>SUM(H2:H2)</f>
        <v>0</v>
      </c>
      <c r="I4" s="188"/>
      <c r="K4" s="176"/>
    </row>
    <row r="5" spans="1:11">
      <c r="A5" s="21">
        <f t="shared" si="0"/>
        <v>4</v>
      </c>
      <c r="B5" s="169"/>
      <c r="C5" s="397" t="s">
        <v>1599</v>
      </c>
      <c r="D5" s="397"/>
      <c r="E5" s="397"/>
      <c r="F5" s="397"/>
      <c r="G5" s="397"/>
      <c r="H5" s="186">
        <f>H4*18%</f>
        <v>0</v>
      </c>
    </row>
    <row r="6" spans="1:11">
      <c r="A6" s="21">
        <f t="shared" si="0"/>
        <v>5</v>
      </c>
      <c r="B6" s="169"/>
      <c r="C6" s="397" t="s">
        <v>742</v>
      </c>
      <c r="D6" s="397"/>
      <c r="E6" s="397"/>
      <c r="F6" s="397"/>
      <c r="G6" s="397"/>
      <c r="H6" s="186">
        <f>SUM(H4:H5)</f>
        <v>0</v>
      </c>
    </row>
    <row r="7" spans="1:11">
      <c r="A7" s="398"/>
      <c r="B7" s="399"/>
      <c r="C7" s="399"/>
      <c r="D7" s="399"/>
      <c r="E7" s="399"/>
      <c r="F7" s="399"/>
      <c r="G7" s="399"/>
      <c r="H7" s="400"/>
    </row>
    <row r="8" spans="1:11" ht="140.25" customHeight="1">
      <c r="A8" s="128" t="s">
        <v>80</v>
      </c>
      <c r="B8" s="360" t="s">
        <v>1585</v>
      </c>
      <c r="C8" s="360"/>
      <c r="D8" s="360"/>
      <c r="E8" s="360"/>
      <c r="F8" s="360"/>
      <c r="G8" s="360"/>
      <c r="H8" s="361"/>
    </row>
  </sheetData>
  <mergeCells count="5">
    <mergeCell ref="C4:G4"/>
    <mergeCell ref="C5:G5"/>
    <mergeCell ref="C6:G6"/>
    <mergeCell ref="A7:H7"/>
    <mergeCell ref="B8:H8"/>
  </mergeCells>
  <printOptions horizontalCentered="1"/>
  <pageMargins left="0.31496062992125984" right="0.31496062992125984" top="0.55118110236220474" bottom="0.55118110236220474" header="0.31496062992125984" footer="0.31496062992125984"/>
  <pageSetup orientation="landscape" horizontalDpi="4294967292" r:id="rId1"/>
  <headerFooter>
    <oddFooter>Page &amp;P of &amp;N</oddFooter>
  </headerFooter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 codeName="Sheet82"/>
  <dimension ref="A1:L12"/>
  <sheetViews>
    <sheetView zoomScaleNormal="100" workbookViewId="0">
      <selection activeCell="E7" sqref="E7"/>
    </sheetView>
  </sheetViews>
  <sheetFormatPr defaultColWidth="9.140625" defaultRowHeight="12.75"/>
  <cols>
    <col min="1" max="1" width="5.85546875" style="119" bestFit="1" customWidth="1"/>
    <col min="2" max="2" width="12.85546875" style="119" customWidth="1"/>
    <col min="3" max="3" width="17.28515625" style="119" bestFit="1" customWidth="1"/>
    <col min="4" max="4" width="17.28515625" style="119" customWidth="1"/>
    <col min="5" max="5" width="50.85546875" style="119" customWidth="1"/>
    <col min="6" max="6" width="8.85546875" style="119" customWidth="1"/>
    <col min="7" max="7" width="11.5703125" style="119" customWidth="1"/>
    <col min="8" max="8" width="17" style="119" customWidth="1"/>
    <col min="9" max="9" width="15.42578125" style="119" customWidth="1"/>
    <col min="10" max="10" width="11.42578125" style="119" bestFit="1" customWidth="1"/>
    <col min="11" max="12" width="11.140625" style="119" bestFit="1" customWidth="1"/>
    <col min="13" max="16384" width="9.140625" style="119"/>
  </cols>
  <sheetData>
    <row r="1" spans="1:12">
      <c r="A1" s="152" t="s">
        <v>0</v>
      </c>
      <c r="B1" s="152" t="s">
        <v>503</v>
      </c>
      <c r="C1" s="117" t="s">
        <v>1604</v>
      </c>
      <c r="D1" s="117" t="s">
        <v>778</v>
      </c>
      <c r="E1" s="173" t="s">
        <v>67</v>
      </c>
      <c r="F1" s="173" t="s">
        <v>3</v>
      </c>
      <c r="G1" s="117" t="s">
        <v>1582</v>
      </c>
      <c r="H1" s="152" t="s">
        <v>1583</v>
      </c>
      <c r="I1" s="152" t="s">
        <v>1584</v>
      </c>
      <c r="J1" s="119" t="s">
        <v>1250</v>
      </c>
      <c r="K1" s="119" t="s">
        <v>119</v>
      </c>
    </row>
    <row r="2" spans="1:12" ht="38.25">
      <c r="A2" s="21">
        <f>ROW()-1</f>
        <v>1</v>
      </c>
      <c r="B2" s="21">
        <v>3000115413</v>
      </c>
      <c r="C2" s="21" t="s">
        <v>1619</v>
      </c>
      <c r="D2" s="57" t="s">
        <v>1625</v>
      </c>
      <c r="E2" s="57" t="s">
        <v>1636</v>
      </c>
      <c r="F2" s="21" t="s">
        <v>1581</v>
      </c>
      <c r="G2" s="21">
        <v>4</v>
      </c>
      <c r="H2" s="201">
        <f>J2*90*1.3</f>
        <v>1755</v>
      </c>
      <c r="I2" s="185">
        <f>H2*G2</f>
        <v>7020</v>
      </c>
      <c r="J2" s="187">
        <v>15</v>
      </c>
      <c r="K2" s="187">
        <v>10</v>
      </c>
      <c r="L2" s="167"/>
    </row>
    <row r="3" spans="1:12" ht="38.25">
      <c r="A3" s="21">
        <f>ROW()-1</f>
        <v>2</v>
      </c>
      <c r="B3" s="21">
        <v>3000115413</v>
      </c>
      <c r="C3" s="21" t="s">
        <v>1620</v>
      </c>
      <c r="D3" s="57" t="s">
        <v>1626</v>
      </c>
      <c r="E3" s="57" t="s">
        <v>1635</v>
      </c>
      <c r="F3" s="21" t="s">
        <v>1581</v>
      </c>
      <c r="G3" s="21">
        <v>4</v>
      </c>
      <c r="H3" s="201">
        <f t="shared" ref="H3:H7" si="0">J3*90*1.3</f>
        <v>2106</v>
      </c>
      <c r="I3" s="185">
        <f t="shared" ref="I3:I7" si="1">H3*G3</f>
        <v>8424</v>
      </c>
      <c r="J3" s="187">
        <v>18</v>
      </c>
      <c r="K3" s="187">
        <v>13</v>
      </c>
      <c r="L3" s="167"/>
    </row>
    <row r="4" spans="1:12" ht="38.25">
      <c r="A4" s="21">
        <f t="shared" ref="A4:A7" si="2">ROW()-1</f>
        <v>3</v>
      </c>
      <c r="B4" s="21">
        <v>3000115413</v>
      </c>
      <c r="C4" s="21" t="s">
        <v>1621</v>
      </c>
      <c r="D4" s="57" t="s">
        <v>1627</v>
      </c>
      <c r="E4" s="57" t="s">
        <v>1634</v>
      </c>
      <c r="F4" s="21" t="s">
        <v>1581</v>
      </c>
      <c r="G4" s="21">
        <v>4</v>
      </c>
      <c r="H4" s="201">
        <f t="shared" si="0"/>
        <v>2106</v>
      </c>
      <c r="I4" s="185">
        <f t="shared" si="1"/>
        <v>8424</v>
      </c>
      <c r="J4" s="187">
        <v>18</v>
      </c>
      <c r="K4" s="187">
        <v>13</v>
      </c>
      <c r="L4" s="167"/>
    </row>
    <row r="5" spans="1:12" ht="89.25">
      <c r="A5" s="21">
        <f t="shared" si="2"/>
        <v>4</v>
      </c>
      <c r="B5" s="21">
        <v>3000115413</v>
      </c>
      <c r="C5" s="21" t="s">
        <v>1622</v>
      </c>
      <c r="D5" s="57" t="s">
        <v>1628</v>
      </c>
      <c r="E5" s="57" t="s">
        <v>1633</v>
      </c>
      <c r="F5" s="21" t="s">
        <v>1614</v>
      </c>
      <c r="G5" s="21">
        <v>12</v>
      </c>
      <c r="H5" s="201">
        <f t="shared" si="0"/>
        <v>2223</v>
      </c>
      <c r="I5" s="185">
        <f t="shared" si="1"/>
        <v>26676</v>
      </c>
      <c r="J5" s="187">
        <v>19</v>
      </c>
      <c r="K5" s="187">
        <v>14</v>
      </c>
      <c r="L5" s="167"/>
    </row>
    <row r="6" spans="1:12" ht="51">
      <c r="A6" s="21">
        <f t="shared" si="2"/>
        <v>5</v>
      </c>
      <c r="B6" s="21">
        <v>3000115413</v>
      </c>
      <c r="C6" s="21" t="s">
        <v>1623</v>
      </c>
      <c r="D6" s="57" t="s">
        <v>1629</v>
      </c>
      <c r="E6" s="57" t="s">
        <v>1632</v>
      </c>
      <c r="F6" s="21" t="s">
        <v>1581</v>
      </c>
      <c r="G6" s="21">
        <v>6</v>
      </c>
      <c r="H6" s="201">
        <f t="shared" si="0"/>
        <v>2457</v>
      </c>
      <c r="I6" s="185">
        <f t="shared" si="1"/>
        <v>14742</v>
      </c>
      <c r="J6" s="187">
        <v>21</v>
      </c>
      <c r="K6" s="187">
        <v>16</v>
      </c>
      <c r="L6" s="167"/>
    </row>
    <row r="7" spans="1:12" ht="38.25">
      <c r="A7" s="21">
        <f t="shared" si="2"/>
        <v>6</v>
      </c>
      <c r="B7" s="21">
        <v>3000115413</v>
      </c>
      <c r="C7" s="21" t="s">
        <v>1624</v>
      </c>
      <c r="D7" s="57" t="s">
        <v>1630</v>
      </c>
      <c r="E7" s="57" t="s">
        <v>1631</v>
      </c>
      <c r="F7" s="21" t="s">
        <v>1581</v>
      </c>
      <c r="G7" s="21">
        <v>4</v>
      </c>
      <c r="H7" s="201">
        <f t="shared" si="0"/>
        <v>2106</v>
      </c>
      <c r="I7" s="185">
        <f t="shared" si="1"/>
        <v>8424</v>
      </c>
      <c r="J7" s="187">
        <v>18</v>
      </c>
      <c r="K7" s="187">
        <v>13</v>
      </c>
      <c r="L7" s="167"/>
    </row>
    <row r="8" spans="1:12">
      <c r="A8" s="21">
        <f t="shared" ref="A8:A10" si="3">ROW()-1</f>
        <v>7</v>
      </c>
      <c r="B8" s="21"/>
      <c r="C8" s="358" t="s">
        <v>76</v>
      </c>
      <c r="D8" s="358"/>
      <c r="E8" s="358"/>
      <c r="F8" s="358"/>
      <c r="G8" s="358"/>
      <c r="H8" s="358"/>
      <c r="I8" s="185">
        <f>SUM(I2:I7)</f>
        <v>73710</v>
      </c>
      <c r="J8" s="188"/>
      <c r="L8" s="176"/>
    </row>
    <row r="9" spans="1:12">
      <c r="A9" s="21">
        <f t="shared" si="3"/>
        <v>8</v>
      </c>
      <c r="B9" s="21"/>
      <c r="C9" s="358" t="s">
        <v>1637</v>
      </c>
      <c r="D9" s="358"/>
      <c r="E9" s="358"/>
      <c r="F9" s="358"/>
      <c r="G9" s="358"/>
      <c r="H9" s="358"/>
      <c r="I9" s="185">
        <f>I8*18%</f>
        <v>13267.8</v>
      </c>
      <c r="K9" s="119" t="s">
        <v>1704</v>
      </c>
      <c r="L9" s="188">
        <v>73400</v>
      </c>
    </row>
    <row r="10" spans="1:12">
      <c r="A10" s="21">
        <f t="shared" si="3"/>
        <v>9</v>
      </c>
      <c r="B10" s="21"/>
      <c r="C10" s="358" t="s">
        <v>742</v>
      </c>
      <c r="D10" s="358"/>
      <c r="E10" s="358"/>
      <c r="F10" s="358"/>
      <c r="G10" s="358"/>
      <c r="H10" s="358"/>
      <c r="I10" s="185">
        <f>SUM(I8:I9)</f>
        <v>86977.8</v>
      </c>
    </row>
    <row r="11" spans="1:12">
      <c r="A11" s="398"/>
      <c r="B11" s="399"/>
      <c r="C11" s="399"/>
      <c r="D11" s="399"/>
      <c r="E11" s="399"/>
      <c r="F11" s="399"/>
      <c r="G11" s="399"/>
      <c r="H11" s="399"/>
      <c r="I11" s="400"/>
    </row>
    <row r="12" spans="1:12" ht="140.25" customHeight="1">
      <c r="A12" s="128" t="s">
        <v>80</v>
      </c>
      <c r="B12" s="360" t="s">
        <v>1585</v>
      </c>
      <c r="C12" s="360"/>
      <c r="D12" s="360"/>
      <c r="E12" s="360"/>
      <c r="F12" s="360"/>
      <c r="G12" s="360"/>
      <c r="H12" s="360"/>
      <c r="I12" s="361"/>
    </row>
  </sheetData>
  <mergeCells count="5">
    <mergeCell ref="C8:H8"/>
    <mergeCell ref="C9:H9"/>
    <mergeCell ref="C10:H10"/>
    <mergeCell ref="A11:I11"/>
    <mergeCell ref="B12:I12"/>
  </mergeCells>
  <printOptions horizontalCentered="1"/>
  <pageMargins left="0.31496062992125984" right="0.31496062992125984" top="0.55118110236220474" bottom="0.55118110236220474" header="0.31496062992125984" footer="0.31496062992125984"/>
  <pageSetup orientation="landscape" horizontalDpi="4294967292" r:id="rId1"/>
  <headerFooter>
    <oddFooter>Page &amp;P of &amp;N</oddFooter>
  </headerFooter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Sheet83"/>
  <dimension ref="A1:U13"/>
  <sheetViews>
    <sheetView topLeftCell="F1" zoomScaleNormal="100" workbookViewId="0">
      <selection activeCell="M2" sqref="M2"/>
    </sheetView>
  </sheetViews>
  <sheetFormatPr defaultColWidth="9.140625" defaultRowHeight="12.75"/>
  <cols>
    <col min="1" max="1" width="5.85546875" style="119" bestFit="1" customWidth="1"/>
    <col min="2" max="2" width="12.85546875" style="119" customWidth="1"/>
    <col min="3" max="3" width="16.7109375" style="119" bestFit="1" customWidth="1"/>
    <col min="4" max="4" width="17.28515625" style="119" customWidth="1"/>
    <col min="5" max="5" width="49.85546875" style="119" bestFit="1" customWidth="1"/>
    <col min="6" max="6" width="8.85546875" style="119" customWidth="1"/>
    <col min="7" max="7" width="6.7109375" style="119" bestFit="1" customWidth="1"/>
    <col min="8" max="8" width="11.42578125" style="119" bestFit="1" customWidth="1"/>
    <col min="9" max="9" width="12.5703125" style="119" bestFit="1" customWidth="1"/>
    <col min="10" max="10" width="11.42578125" style="119" bestFit="1" customWidth="1"/>
    <col min="11" max="11" width="11.140625" style="119" bestFit="1" customWidth="1"/>
    <col min="12" max="12" width="9.7109375" style="119" bestFit="1" customWidth="1"/>
    <col min="13" max="13" width="9.7109375" style="119" customWidth="1"/>
    <col min="14" max="21" width="12.28515625" style="119" bestFit="1" customWidth="1"/>
    <col min="22" max="16384" width="9.140625" style="119"/>
  </cols>
  <sheetData>
    <row r="1" spans="1:21">
      <c r="A1" s="152" t="s">
        <v>0</v>
      </c>
      <c r="B1" s="152" t="s">
        <v>503</v>
      </c>
      <c r="C1" s="117" t="s">
        <v>1604</v>
      </c>
      <c r="D1" s="117" t="s">
        <v>778</v>
      </c>
      <c r="E1" s="173" t="s">
        <v>67</v>
      </c>
      <c r="F1" s="173" t="s">
        <v>3</v>
      </c>
      <c r="G1" s="117" t="s">
        <v>1582</v>
      </c>
      <c r="H1" s="152" t="s">
        <v>1583</v>
      </c>
      <c r="I1" s="152" t="s">
        <v>1584</v>
      </c>
      <c r="J1" s="119" t="s">
        <v>1250</v>
      </c>
      <c r="K1" s="119" t="s">
        <v>145</v>
      </c>
      <c r="L1" s="119" t="s">
        <v>1641</v>
      </c>
      <c r="M1" s="119" t="s">
        <v>2104</v>
      </c>
      <c r="N1" s="119" t="s">
        <v>1736</v>
      </c>
      <c r="O1" s="119" t="s">
        <v>1737</v>
      </c>
      <c r="P1" s="119" t="s">
        <v>1738</v>
      </c>
      <c r="Q1" s="119" t="s">
        <v>1740</v>
      </c>
      <c r="R1" s="119" t="s">
        <v>1739</v>
      </c>
      <c r="S1" s="119" t="s">
        <v>1741</v>
      </c>
      <c r="T1" s="119" t="s">
        <v>1742</v>
      </c>
      <c r="U1" s="119" t="s">
        <v>1743</v>
      </c>
    </row>
    <row r="2" spans="1:21" ht="51">
      <c r="A2" s="21">
        <f>ROW()-1</f>
        <v>1</v>
      </c>
      <c r="B2" s="21">
        <v>3000118197</v>
      </c>
      <c r="C2" s="21" t="s">
        <v>1638</v>
      </c>
      <c r="D2" s="57" t="s">
        <v>1639</v>
      </c>
      <c r="E2" s="57" t="s">
        <v>1640</v>
      </c>
      <c r="F2" s="21" t="s">
        <v>221</v>
      </c>
      <c r="G2" s="21">
        <v>4</v>
      </c>
      <c r="H2" s="201">
        <f>J2</f>
        <v>47724</v>
      </c>
      <c r="I2" s="185">
        <f>H2*G2</f>
        <v>190896</v>
      </c>
      <c r="J2" s="187">
        <v>47724</v>
      </c>
      <c r="K2" s="187">
        <v>258</v>
      </c>
      <c r="L2" s="202">
        <v>4600</v>
      </c>
      <c r="M2" s="187">
        <v>560</v>
      </c>
      <c r="N2" s="209">
        <f>J2*90*1.28</f>
        <v>5497804.7999999998</v>
      </c>
      <c r="O2" s="209">
        <f>J2*90*1.25</f>
        <v>5368950</v>
      </c>
      <c r="P2" s="209">
        <f>J2*1.3*88</f>
        <v>5459625.6000000006</v>
      </c>
      <c r="Q2" s="209">
        <f>88*1.28*J2</f>
        <v>5375631.3600000003</v>
      </c>
      <c r="R2" s="209">
        <f>J2*88*1.25</f>
        <v>5249640</v>
      </c>
      <c r="S2" s="209">
        <f>J2*85*1.3</f>
        <v>5273502</v>
      </c>
      <c r="T2" s="209">
        <f>J2*85*1.28</f>
        <v>5192371.2</v>
      </c>
      <c r="U2" s="209">
        <f>J2*85*1.25</f>
        <v>5070675</v>
      </c>
    </row>
    <row r="3" spans="1:21">
      <c r="A3" s="21">
        <f t="shared" ref="A3:A5" si="0">ROW()-1</f>
        <v>2</v>
      </c>
      <c r="B3" s="21"/>
      <c r="C3" s="358" t="s">
        <v>76</v>
      </c>
      <c r="D3" s="358"/>
      <c r="E3" s="358"/>
      <c r="F3" s="358"/>
      <c r="G3" s="358"/>
      <c r="H3" s="358"/>
      <c r="I3" s="185">
        <f>SUM(I2:I2)</f>
        <v>190896</v>
      </c>
      <c r="J3" s="188"/>
      <c r="K3" s="187"/>
      <c r="L3" s="176"/>
      <c r="M3" s="176"/>
      <c r="N3" s="187">
        <f>N2*$G$2</f>
        <v>21991219.199999999</v>
      </c>
      <c r="O3" s="187">
        <f t="shared" ref="O3:T3" si="1">O2*$G$2</f>
        <v>21475800</v>
      </c>
      <c r="P3" s="187">
        <f t="shared" si="1"/>
        <v>21838502.400000002</v>
      </c>
      <c r="Q3" s="187">
        <f t="shared" si="1"/>
        <v>21502525.440000001</v>
      </c>
      <c r="R3" s="187">
        <f t="shared" si="1"/>
        <v>20998560</v>
      </c>
      <c r="S3" s="187">
        <f t="shared" si="1"/>
        <v>21094008</v>
      </c>
      <c r="T3" s="187">
        <f t="shared" si="1"/>
        <v>20769484.800000001</v>
      </c>
      <c r="U3" s="187">
        <f>U2*$G$2</f>
        <v>20282700</v>
      </c>
    </row>
    <row r="4" spans="1:21">
      <c r="A4" s="21">
        <f t="shared" si="0"/>
        <v>3</v>
      </c>
      <c r="B4" s="21"/>
      <c r="C4" s="358" t="s">
        <v>1637</v>
      </c>
      <c r="D4" s="358"/>
      <c r="E4" s="358"/>
      <c r="F4" s="358"/>
      <c r="G4" s="358"/>
      <c r="H4" s="358"/>
      <c r="I4" s="185">
        <f>I3*18%</f>
        <v>34361.279999999999</v>
      </c>
    </row>
    <row r="5" spans="1:21">
      <c r="A5" s="21">
        <f t="shared" si="0"/>
        <v>4</v>
      </c>
      <c r="B5" s="21"/>
      <c r="C5" s="358" t="s">
        <v>742</v>
      </c>
      <c r="D5" s="358"/>
      <c r="E5" s="358"/>
      <c r="F5" s="358"/>
      <c r="G5" s="358"/>
      <c r="H5" s="358"/>
      <c r="I5" s="185">
        <f>SUM(I3:I4)</f>
        <v>225257.28</v>
      </c>
      <c r="J5" s="119">
        <v>707.69230769230774</v>
      </c>
    </row>
    <row r="6" spans="1:21">
      <c r="A6" s="398"/>
      <c r="B6" s="399"/>
      <c r="C6" s="399"/>
      <c r="D6" s="399"/>
      <c r="E6" s="399"/>
      <c r="F6" s="399"/>
      <c r="G6" s="399"/>
      <c r="H6" s="399"/>
      <c r="I6" s="400"/>
      <c r="N6" s="119">
        <f>190896</f>
        <v>190896</v>
      </c>
      <c r="O6" s="119">
        <f>N6/4</f>
        <v>47724</v>
      </c>
    </row>
    <row r="7" spans="1:21" ht="140.25" customHeight="1">
      <c r="A7" s="128" t="s">
        <v>80</v>
      </c>
      <c r="B7" s="360" t="s">
        <v>1585</v>
      </c>
      <c r="C7" s="360"/>
      <c r="D7" s="360"/>
      <c r="E7" s="360"/>
      <c r="F7" s="360"/>
      <c r="G7" s="360"/>
      <c r="H7" s="360"/>
      <c r="I7" s="361"/>
    </row>
    <row r="11" spans="1:21">
      <c r="A11" s="152" t="s">
        <v>0</v>
      </c>
      <c r="B11" s="152" t="s">
        <v>503</v>
      </c>
      <c r="C11" s="117" t="s">
        <v>1604</v>
      </c>
      <c r="D11" s="117" t="s">
        <v>778</v>
      </c>
      <c r="E11" s="173" t="s">
        <v>67</v>
      </c>
      <c r="F11" s="173" t="s">
        <v>3</v>
      </c>
      <c r="G11" s="117" t="s">
        <v>1582</v>
      </c>
      <c r="H11" s="152" t="s">
        <v>1583</v>
      </c>
      <c r="I11" s="152" t="s">
        <v>1584</v>
      </c>
    </row>
    <row r="12" spans="1:21" ht="51">
      <c r="A12" s="21">
        <f>ROW()-1</f>
        <v>11</v>
      </c>
      <c r="B12" s="21">
        <v>3000118197</v>
      </c>
      <c r="C12" s="21" t="s">
        <v>1638</v>
      </c>
      <c r="D12" s="57" t="s">
        <v>1639</v>
      </c>
      <c r="E12" s="57" t="s">
        <v>1640</v>
      </c>
      <c r="F12" s="21" t="s">
        <v>221</v>
      </c>
      <c r="G12" s="21">
        <v>4</v>
      </c>
      <c r="H12" s="201">
        <f>J12*90*1.3</f>
        <v>0</v>
      </c>
      <c r="I12" s="185">
        <f>H12*G12</f>
        <v>0</v>
      </c>
    </row>
    <row r="13" spans="1:21">
      <c r="A13" s="208"/>
      <c r="B13" s="415" t="s">
        <v>1734</v>
      </c>
      <c r="C13" s="416"/>
      <c r="D13" s="416"/>
      <c r="E13" s="416"/>
      <c r="F13" s="206"/>
      <c r="G13" s="206"/>
      <c r="H13" s="206"/>
      <c r="I13" s="207"/>
    </row>
  </sheetData>
  <mergeCells count="6">
    <mergeCell ref="B13:E13"/>
    <mergeCell ref="C3:H3"/>
    <mergeCell ref="C4:H4"/>
    <mergeCell ref="C5:H5"/>
    <mergeCell ref="A6:I6"/>
    <mergeCell ref="B7:I7"/>
  </mergeCells>
  <printOptions horizontalCentered="1"/>
  <pageMargins left="0.31496062992125984" right="0.31496062992125984" top="0.55118110236220474" bottom="0.55118110236220474" header="0.31496062992125984" footer="0.31496062992125984"/>
  <pageSetup orientation="landscape" horizontalDpi="4294967292" r:id="rId1"/>
  <headerFooter>
    <oddFooter>Page &amp;P of &amp;N</oddFooter>
  </headerFooter>
  <drawing r:id="rId2"/>
  <legacyDrawing r:id="rId3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Sheet84"/>
  <dimension ref="A1:L9"/>
  <sheetViews>
    <sheetView zoomScaleNormal="100" workbookViewId="0">
      <selection activeCell="D1" sqref="D1:G4"/>
    </sheetView>
  </sheetViews>
  <sheetFormatPr defaultColWidth="9.140625" defaultRowHeight="12.75"/>
  <cols>
    <col min="1" max="1" width="5.85546875" style="119" bestFit="1" customWidth="1"/>
    <col min="2" max="2" width="15.85546875" style="119" customWidth="1"/>
    <col min="3" max="3" width="17.28515625" style="119" bestFit="1" customWidth="1"/>
    <col min="4" max="4" width="17.28515625" style="119" customWidth="1"/>
    <col min="5" max="5" width="50.85546875" style="119" customWidth="1"/>
    <col min="6" max="6" width="8.85546875" style="119" customWidth="1"/>
    <col min="7" max="7" width="11.5703125" style="119" customWidth="1"/>
    <col min="8" max="8" width="17" style="119" customWidth="1"/>
    <col min="9" max="9" width="15.42578125" style="119" customWidth="1"/>
    <col min="10" max="10" width="11.42578125" style="119" bestFit="1" customWidth="1"/>
    <col min="11" max="11" width="11.140625" style="119" bestFit="1" customWidth="1"/>
    <col min="12" max="12" width="9.7109375" style="119" bestFit="1" customWidth="1"/>
    <col min="13" max="16384" width="9.140625" style="119"/>
  </cols>
  <sheetData>
    <row r="1" spans="1:12">
      <c r="A1" s="152" t="s">
        <v>0</v>
      </c>
      <c r="B1" s="152" t="s">
        <v>503</v>
      </c>
      <c r="C1" s="117" t="s">
        <v>1604</v>
      </c>
      <c r="D1" s="117" t="s">
        <v>778</v>
      </c>
      <c r="E1" s="173" t="s">
        <v>67</v>
      </c>
      <c r="F1" s="173" t="s">
        <v>3</v>
      </c>
      <c r="G1" s="117" t="s">
        <v>1582</v>
      </c>
      <c r="H1" s="152" t="s">
        <v>1583</v>
      </c>
      <c r="I1" s="152" t="s">
        <v>1584</v>
      </c>
      <c r="J1" s="119" t="s">
        <v>1250</v>
      </c>
      <c r="K1" s="119" t="s">
        <v>119</v>
      </c>
      <c r="L1" s="119" t="s">
        <v>1641</v>
      </c>
    </row>
    <row r="2" spans="1:12" ht="63.75">
      <c r="A2" s="21">
        <f>ROW()-1</f>
        <v>1</v>
      </c>
      <c r="B2" s="21" t="s">
        <v>1642</v>
      </c>
      <c r="C2" s="21" t="s">
        <v>1644</v>
      </c>
      <c r="D2" s="57" t="s">
        <v>1643</v>
      </c>
      <c r="E2" s="57" t="s">
        <v>1649</v>
      </c>
      <c r="F2" s="21" t="s">
        <v>1581</v>
      </c>
      <c r="G2" s="21">
        <v>2</v>
      </c>
      <c r="H2" s="201">
        <f>J2*90*1.3</f>
        <v>0</v>
      </c>
      <c r="I2" s="185">
        <f>H2*G2</f>
        <v>0</v>
      </c>
      <c r="J2" s="187"/>
      <c r="K2" s="187"/>
      <c r="L2" s="202"/>
    </row>
    <row r="3" spans="1:12" ht="89.25">
      <c r="A3" s="21">
        <f>ROW()-1</f>
        <v>2</v>
      </c>
      <c r="B3" s="21" t="s">
        <v>1642</v>
      </c>
      <c r="C3" s="21" t="s">
        <v>1646</v>
      </c>
      <c r="D3" s="57" t="s">
        <v>1645</v>
      </c>
      <c r="E3" s="57" t="s">
        <v>1650</v>
      </c>
      <c r="F3" s="21" t="s">
        <v>1581</v>
      </c>
      <c r="G3" s="21">
        <v>2</v>
      </c>
      <c r="H3" s="201">
        <f t="shared" ref="H3:H4" si="0">J3*90*1.3</f>
        <v>0</v>
      </c>
      <c r="I3" s="185">
        <f t="shared" ref="I3:I4" si="1">H3*G3</f>
        <v>0</v>
      </c>
      <c r="J3" s="187"/>
      <c r="K3" s="187"/>
      <c r="L3" s="202"/>
    </row>
    <row r="4" spans="1:12" ht="51">
      <c r="A4" s="21">
        <f>ROW()-1</f>
        <v>3</v>
      </c>
      <c r="B4" s="21" t="s">
        <v>1642</v>
      </c>
      <c r="C4" s="21" t="s">
        <v>1648</v>
      </c>
      <c r="D4" s="57" t="s">
        <v>1647</v>
      </c>
      <c r="E4" s="57" t="s">
        <v>1651</v>
      </c>
      <c r="F4" s="21" t="s">
        <v>1581</v>
      </c>
      <c r="G4" s="21">
        <v>16</v>
      </c>
      <c r="H4" s="201">
        <f t="shared" si="0"/>
        <v>0</v>
      </c>
      <c r="I4" s="185">
        <f t="shared" si="1"/>
        <v>0</v>
      </c>
      <c r="J4" s="187"/>
      <c r="K4" s="187"/>
      <c r="L4" s="202"/>
    </row>
    <row r="5" spans="1:12">
      <c r="A5" s="21">
        <f t="shared" ref="A5:A7" si="2">ROW()-1</f>
        <v>4</v>
      </c>
      <c r="B5" s="21"/>
      <c r="C5" s="358" t="s">
        <v>76</v>
      </c>
      <c r="D5" s="358"/>
      <c r="E5" s="358"/>
      <c r="F5" s="358"/>
      <c r="G5" s="358"/>
      <c r="H5" s="358"/>
      <c r="I5" s="185">
        <f>SUM(I2:I2)</f>
        <v>0</v>
      </c>
      <c r="J5" s="188"/>
      <c r="L5" s="176"/>
    </row>
    <row r="6" spans="1:12">
      <c r="A6" s="21">
        <f t="shared" si="2"/>
        <v>5</v>
      </c>
      <c r="B6" s="21"/>
      <c r="C6" s="358" t="s">
        <v>1637</v>
      </c>
      <c r="D6" s="358"/>
      <c r="E6" s="358"/>
      <c r="F6" s="358"/>
      <c r="G6" s="358"/>
      <c r="H6" s="358"/>
      <c r="I6" s="185">
        <f>I5*18%</f>
        <v>0</v>
      </c>
    </row>
    <row r="7" spans="1:12">
      <c r="A7" s="21">
        <f t="shared" si="2"/>
        <v>6</v>
      </c>
      <c r="B7" s="21"/>
      <c r="C7" s="358" t="s">
        <v>742</v>
      </c>
      <c r="D7" s="358"/>
      <c r="E7" s="358"/>
      <c r="F7" s="358"/>
      <c r="G7" s="358"/>
      <c r="H7" s="358"/>
      <c r="I7" s="185">
        <f>SUM(I5:I6)</f>
        <v>0</v>
      </c>
    </row>
    <row r="8" spans="1:12">
      <c r="A8" s="398"/>
      <c r="B8" s="399"/>
      <c r="C8" s="399"/>
      <c r="D8" s="399"/>
      <c r="E8" s="399"/>
      <c r="F8" s="399"/>
      <c r="G8" s="399"/>
      <c r="H8" s="399"/>
      <c r="I8" s="400"/>
    </row>
    <row r="9" spans="1:12" ht="140.25" customHeight="1">
      <c r="A9" s="128" t="s">
        <v>80</v>
      </c>
      <c r="B9" s="360" t="s">
        <v>1585</v>
      </c>
      <c r="C9" s="360"/>
      <c r="D9" s="360"/>
      <c r="E9" s="360"/>
      <c r="F9" s="360"/>
      <c r="G9" s="360"/>
      <c r="H9" s="360"/>
      <c r="I9" s="361"/>
    </row>
  </sheetData>
  <mergeCells count="5">
    <mergeCell ref="C5:H5"/>
    <mergeCell ref="C6:H6"/>
    <mergeCell ref="C7:H7"/>
    <mergeCell ref="A8:I8"/>
    <mergeCell ref="B9:I9"/>
  </mergeCells>
  <printOptions horizontalCentered="1"/>
  <pageMargins left="0.31496062992125984" right="0.31496062992125984" top="0.55118110236220474" bottom="0.55118110236220474" header="0.31496062992125984" footer="0.31496062992125984"/>
  <pageSetup orientation="landscape" horizontalDpi="4294967292" r:id="rId1"/>
  <headerFooter>
    <oddFooter>Page &amp;P of &amp;N</oddFooter>
  </headerFooter>
  <legacyDrawing r:id="rId2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Sheet85"/>
  <dimension ref="A1:L8"/>
  <sheetViews>
    <sheetView zoomScaleNormal="100" workbookViewId="0"/>
  </sheetViews>
  <sheetFormatPr defaultColWidth="9.140625" defaultRowHeight="12.75"/>
  <cols>
    <col min="1" max="1" width="5.85546875" style="119" bestFit="1" customWidth="1"/>
    <col min="2" max="2" width="15.85546875" style="119" customWidth="1"/>
    <col min="3" max="3" width="17.28515625" style="119" bestFit="1" customWidth="1"/>
    <col min="4" max="4" width="17.28515625" style="119" customWidth="1"/>
    <col min="5" max="5" width="50.85546875" style="119" customWidth="1"/>
    <col min="6" max="6" width="8.85546875" style="119" customWidth="1"/>
    <col min="7" max="7" width="11.5703125" style="119" customWidth="1"/>
    <col min="8" max="8" width="17" style="119" customWidth="1"/>
    <col min="9" max="9" width="15.42578125" style="119" customWidth="1"/>
    <col min="10" max="10" width="11.42578125" style="119" bestFit="1" customWidth="1"/>
    <col min="11" max="11" width="11.140625" style="119" bestFit="1" customWidth="1"/>
    <col min="12" max="12" width="9.7109375" style="119" bestFit="1" customWidth="1"/>
    <col min="13" max="16384" width="9.140625" style="119"/>
  </cols>
  <sheetData>
    <row r="1" spans="1:12">
      <c r="A1" s="152" t="s">
        <v>0</v>
      </c>
      <c r="B1" s="152" t="s">
        <v>503</v>
      </c>
      <c r="C1" s="117" t="s">
        <v>1604</v>
      </c>
      <c r="D1" s="117" t="s">
        <v>778</v>
      </c>
      <c r="E1" s="173" t="s">
        <v>67</v>
      </c>
      <c r="F1" s="173" t="s">
        <v>3</v>
      </c>
      <c r="G1" s="117" t="s">
        <v>1582</v>
      </c>
      <c r="H1" s="152" t="s">
        <v>1583</v>
      </c>
      <c r="I1" s="152" t="s">
        <v>1584</v>
      </c>
      <c r="J1" s="119" t="s">
        <v>1250</v>
      </c>
      <c r="K1" s="119" t="s">
        <v>145</v>
      </c>
    </row>
    <row r="2" spans="1:12" ht="63.75">
      <c r="A2" s="21">
        <f>ROW()-1</f>
        <v>1</v>
      </c>
      <c r="B2" s="21" t="s">
        <v>1653</v>
      </c>
      <c r="C2" s="21" t="s">
        <v>522</v>
      </c>
      <c r="D2" s="57" t="s">
        <v>1652</v>
      </c>
      <c r="E2" s="57" t="s">
        <v>1655</v>
      </c>
      <c r="F2" s="21" t="s">
        <v>1581</v>
      </c>
      <c r="G2" s="21">
        <v>70</v>
      </c>
      <c r="H2" s="201">
        <f>J2*90*1.3</f>
        <v>0</v>
      </c>
      <c r="I2" s="185">
        <f>H2*G2</f>
        <v>0</v>
      </c>
      <c r="J2" s="187"/>
      <c r="K2" s="187">
        <v>38</v>
      </c>
      <c r="L2" s="202"/>
    </row>
    <row r="3" spans="1:12" ht="63.75">
      <c r="A3" s="21">
        <f>ROW()-1</f>
        <v>2</v>
      </c>
      <c r="B3" s="21" t="s">
        <v>1653</v>
      </c>
      <c r="C3" s="21" t="s">
        <v>522</v>
      </c>
      <c r="D3" s="57" t="s">
        <v>1654</v>
      </c>
      <c r="E3" s="57" t="s">
        <v>1656</v>
      </c>
      <c r="F3" s="21" t="s">
        <v>1581</v>
      </c>
      <c r="G3" s="21">
        <v>15</v>
      </c>
      <c r="H3" s="201">
        <f t="shared" ref="H3" si="0">J3*90*1.3</f>
        <v>0</v>
      </c>
      <c r="I3" s="185">
        <f t="shared" ref="I3" si="1">H3*G3</f>
        <v>0</v>
      </c>
      <c r="J3" s="187"/>
      <c r="K3" s="187">
        <v>42</v>
      </c>
      <c r="L3" s="202"/>
    </row>
    <row r="4" spans="1:12">
      <c r="A4" s="21">
        <f t="shared" ref="A4:A6" si="2">ROW()-1</f>
        <v>3</v>
      </c>
      <c r="B4" s="21"/>
      <c r="C4" s="358" t="s">
        <v>76</v>
      </c>
      <c r="D4" s="358"/>
      <c r="E4" s="358"/>
      <c r="F4" s="358"/>
      <c r="G4" s="358"/>
      <c r="H4" s="358"/>
      <c r="I4" s="185">
        <f>SUM(I2:I2)</f>
        <v>0</v>
      </c>
      <c r="J4" s="188"/>
      <c r="L4" s="176"/>
    </row>
    <row r="5" spans="1:12">
      <c r="A5" s="21">
        <f t="shared" si="2"/>
        <v>4</v>
      </c>
      <c r="B5" s="21"/>
      <c r="C5" s="358" t="s">
        <v>1637</v>
      </c>
      <c r="D5" s="358"/>
      <c r="E5" s="358"/>
      <c r="F5" s="358"/>
      <c r="G5" s="358"/>
      <c r="H5" s="358"/>
      <c r="I5" s="185">
        <f>I4*18%</f>
        <v>0</v>
      </c>
    </row>
    <row r="6" spans="1:12">
      <c r="A6" s="21">
        <f t="shared" si="2"/>
        <v>5</v>
      </c>
      <c r="B6" s="21"/>
      <c r="C6" s="358" t="s">
        <v>742</v>
      </c>
      <c r="D6" s="358"/>
      <c r="E6" s="358"/>
      <c r="F6" s="358"/>
      <c r="G6" s="358"/>
      <c r="H6" s="358"/>
      <c r="I6" s="185">
        <f>SUM(I4:I5)</f>
        <v>0</v>
      </c>
    </row>
    <row r="7" spans="1:12">
      <c r="A7" s="398"/>
      <c r="B7" s="399"/>
      <c r="C7" s="399"/>
      <c r="D7" s="399"/>
      <c r="E7" s="399"/>
      <c r="F7" s="399"/>
      <c r="G7" s="399"/>
      <c r="H7" s="399"/>
      <c r="I7" s="400"/>
    </row>
    <row r="8" spans="1:12" ht="140.25" customHeight="1">
      <c r="A8" s="128" t="s">
        <v>80</v>
      </c>
      <c r="B8" s="360" t="s">
        <v>1585</v>
      </c>
      <c r="C8" s="360"/>
      <c r="D8" s="360"/>
      <c r="E8" s="360"/>
      <c r="F8" s="360"/>
      <c r="G8" s="360"/>
      <c r="H8" s="360"/>
      <c r="I8" s="361"/>
    </row>
  </sheetData>
  <mergeCells count="5">
    <mergeCell ref="C4:H4"/>
    <mergeCell ref="C5:H5"/>
    <mergeCell ref="C6:H6"/>
    <mergeCell ref="A7:I7"/>
    <mergeCell ref="B8:I8"/>
  </mergeCells>
  <printOptions horizontalCentered="1"/>
  <pageMargins left="0.31496062992125984" right="0.31496062992125984" top="0.55118110236220474" bottom="0.55118110236220474" header="0.31496062992125984" footer="0.31496062992125984"/>
  <pageSetup orientation="landscape" horizontalDpi="4294967292" r:id="rId1"/>
  <headerFooter>
    <oddFooter>Page &amp;P of &amp;N</oddFooter>
  </headerFooter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Sheet86"/>
  <dimension ref="A1:L19"/>
  <sheetViews>
    <sheetView zoomScaleNormal="100" workbookViewId="0">
      <selection activeCell="E2" sqref="E2"/>
    </sheetView>
  </sheetViews>
  <sheetFormatPr defaultColWidth="9.140625" defaultRowHeight="12.75"/>
  <cols>
    <col min="1" max="1" width="5.85546875" style="119" bestFit="1" customWidth="1"/>
    <col min="2" max="2" width="15.85546875" style="119" customWidth="1"/>
    <col min="3" max="3" width="18.7109375" style="119" customWidth="1"/>
    <col min="4" max="4" width="17.28515625" style="119" customWidth="1"/>
    <col min="5" max="5" width="50.85546875" style="119" customWidth="1"/>
    <col min="6" max="6" width="8.85546875" style="119" customWidth="1"/>
    <col min="7" max="7" width="11.5703125" style="119" customWidth="1"/>
    <col min="8" max="8" width="17" style="119" customWidth="1"/>
    <col min="9" max="9" width="15.42578125" style="119" customWidth="1"/>
    <col min="10" max="10" width="11.42578125" style="119" bestFit="1" customWidth="1"/>
    <col min="11" max="11" width="11.140625" style="119" bestFit="1" customWidth="1"/>
    <col min="12" max="12" width="9.7109375" style="119" bestFit="1" customWidth="1"/>
    <col min="13" max="16384" width="9.140625" style="119"/>
  </cols>
  <sheetData>
    <row r="1" spans="1:12">
      <c r="A1" s="152" t="s">
        <v>0</v>
      </c>
      <c r="B1" s="152" t="s">
        <v>503</v>
      </c>
      <c r="C1" s="117" t="s">
        <v>1604</v>
      </c>
      <c r="D1" s="117" t="s">
        <v>778</v>
      </c>
      <c r="E1" s="173" t="s">
        <v>67</v>
      </c>
      <c r="F1" s="173" t="s">
        <v>3</v>
      </c>
      <c r="G1" s="117" t="s">
        <v>1582</v>
      </c>
      <c r="H1" s="152" t="s">
        <v>1583</v>
      </c>
      <c r="I1" s="152" t="s">
        <v>1584</v>
      </c>
      <c r="J1" s="119" t="s">
        <v>1250</v>
      </c>
      <c r="K1" s="119" t="s">
        <v>119</v>
      </c>
      <c r="L1" s="119" t="s">
        <v>1641</v>
      </c>
    </row>
    <row r="2" spans="1:12" ht="89.25">
      <c r="A2" s="21">
        <f>ROW()-1</f>
        <v>1</v>
      </c>
      <c r="B2" s="21" t="s">
        <v>1657</v>
      </c>
      <c r="C2" s="21" t="s">
        <v>1658</v>
      </c>
      <c r="D2" s="57" t="s">
        <v>522</v>
      </c>
      <c r="E2" s="57" t="s">
        <v>1671</v>
      </c>
      <c r="F2" s="21" t="s">
        <v>1581</v>
      </c>
      <c r="G2" s="21">
        <v>2</v>
      </c>
      <c r="H2" s="201">
        <f>J2*90*1.3</f>
        <v>0</v>
      </c>
      <c r="I2" s="185">
        <f>H2*G2</f>
        <v>0</v>
      </c>
      <c r="J2" s="187"/>
      <c r="K2" s="187"/>
      <c r="L2" s="202"/>
    </row>
    <row r="3" spans="1:12" ht="89.25">
      <c r="A3" s="21">
        <f>ROW()-1</f>
        <v>2</v>
      </c>
      <c r="B3" s="21" t="s">
        <v>1657</v>
      </c>
      <c r="C3" s="21" t="s">
        <v>1659</v>
      </c>
      <c r="D3" s="57" t="s">
        <v>522</v>
      </c>
      <c r="E3" s="57" t="s">
        <v>1672</v>
      </c>
      <c r="F3" s="21" t="s">
        <v>1581</v>
      </c>
      <c r="G3" s="21">
        <v>2</v>
      </c>
      <c r="H3" s="201">
        <f t="shared" ref="H3:H14" si="0">J3*90*1.3</f>
        <v>0</v>
      </c>
      <c r="I3" s="185">
        <f t="shared" ref="I3:I14" si="1">H3*G3</f>
        <v>0</v>
      </c>
      <c r="J3" s="187"/>
      <c r="K3" s="187"/>
      <c r="L3" s="202"/>
    </row>
    <row r="4" spans="1:12" ht="38.25">
      <c r="A4" s="21">
        <f t="shared" ref="A4:A14" si="2">ROW()-1</f>
        <v>3</v>
      </c>
      <c r="B4" s="21" t="s">
        <v>1657</v>
      </c>
      <c r="C4" s="21" t="s">
        <v>1660</v>
      </c>
      <c r="D4" s="57" t="s">
        <v>522</v>
      </c>
      <c r="E4" s="57" t="s">
        <v>1673</v>
      </c>
      <c r="F4" s="21" t="s">
        <v>1581</v>
      </c>
      <c r="G4" s="21">
        <v>2</v>
      </c>
      <c r="H4" s="201">
        <f t="shared" si="0"/>
        <v>0</v>
      </c>
      <c r="I4" s="185">
        <f t="shared" si="1"/>
        <v>0</v>
      </c>
      <c r="J4" s="187"/>
      <c r="K4" s="187"/>
      <c r="L4" s="202"/>
    </row>
    <row r="5" spans="1:12" ht="38.25">
      <c r="A5" s="21">
        <f t="shared" si="2"/>
        <v>4</v>
      </c>
      <c r="B5" s="21" t="s">
        <v>1657</v>
      </c>
      <c r="C5" s="21" t="s">
        <v>1661</v>
      </c>
      <c r="D5" s="57" t="s">
        <v>522</v>
      </c>
      <c r="E5" s="57" t="s">
        <v>1674</v>
      </c>
      <c r="F5" s="21" t="s">
        <v>1581</v>
      </c>
      <c r="G5" s="21">
        <v>2</v>
      </c>
      <c r="H5" s="201">
        <f t="shared" si="0"/>
        <v>0</v>
      </c>
      <c r="I5" s="185">
        <f t="shared" si="1"/>
        <v>0</v>
      </c>
      <c r="J5" s="187"/>
      <c r="K5" s="187"/>
      <c r="L5" s="202"/>
    </row>
    <row r="6" spans="1:12" ht="89.25">
      <c r="A6" s="21">
        <f t="shared" si="2"/>
        <v>5</v>
      </c>
      <c r="B6" s="21" t="s">
        <v>1657</v>
      </c>
      <c r="C6" s="21" t="s">
        <v>1662</v>
      </c>
      <c r="D6" s="57" t="s">
        <v>522</v>
      </c>
      <c r="E6" s="57" t="s">
        <v>1675</v>
      </c>
      <c r="F6" s="21" t="s">
        <v>1581</v>
      </c>
      <c r="G6" s="21">
        <v>4</v>
      </c>
      <c r="H6" s="201">
        <f t="shared" si="0"/>
        <v>0</v>
      </c>
      <c r="I6" s="185">
        <f t="shared" si="1"/>
        <v>0</v>
      </c>
      <c r="J6" s="187"/>
      <c r="K6" s="187"/>
      <c r="L6" s="202"/>
    </row>
    <row r="7" spans="1:12" ht="63.75">
      <c r="A7" s="21">
        <f t="shared" si="2"/>
        <v>6</v>
      </c>
      <c r="B7" s="21" t="s">
        <v>1657</v>
      </c>
      <c r="C7" s="21" t="s">
        <v>1663</v>
      </c>
      <c r="D7" s="57" t="s">
        <v>522</v>
      </c>
      <c r="E7" s="57" t="s">
        <v>1676</v>
      </c>
      <c r="F7" s="21" t="s">
        <v>1581</v>
      </c>
      <c r="G7" s="21">
        <v>2</v>
      </c>
      <c r="H7" s="201">
        <f t="shared" si="0"/>
        <v>0</v>
      </c>
      <c r="I7" s="185">
        <f t="shared" si="1"/>
        <v>0</v>
      </c>
      <c r="J7" s="187"/>
      <c r="K7" s="187"/>
      <c r="L7" s="202"/>
    </row>
    <row r="8" spans="1:12" ht="89.25">
      <c r="A8" s="21">
        <f t="shared" si="2"/>
        <v>7</v>
      </c>
      <c r="B8" s="21" t="s">
        <v>1657</v>
      </c>
      <c r="C8" s="21" t="s">
        <v>1664</v>
      </c>
      <c r="D8" s="57" t="s">
        <v>522</v>
      </c>
      <c r="E8" s="57" t="s">
        <v>1677</v>
      </c>
      <c r="F8" s="21" t="s">
        <v>1581</v>
      </c>
      <c r="G8" s="21">
        <v>4</v>
      </c>
      <c r="H8" s="201">
        <f t="shared" si="0"/>
        <v>0</v>
      </c>
      <c r="I8" s="185">
        <f t="shared" si="1"/>
        <v>0</v>
      </c>
      <c r="J8" s="187"/>
      <c r="K8" s="187"/>
      <c r="L8" s="202"/>
    </row>
    <row r="9" spans="1:12" ht="102">
      <c r="A9" s="21">
        <f t="shared" si="2"/>
        <v>8</v>
      </c>
      <c r="B9" s="21" t="s">
        <v>1657</v>
      </c>
      <c r="C9" s="21" t="s">
        <v>1665</v>
      </c>
      <c r="D9" s="57" t="s">
        <v>522</v>
      </c>
      <c r="E9" s="57" t="s">
        <v>1678</v>
      </c>
      <c r="F9" s="21" t="s">
        <v>1614</v>
      </c>
      <c r="G9" s="21">
        <v>4</v>
      </c>
      <c r="H9" s="201">
        <f t="shared" si="0"/>
        <v>0</v>
      </c>
      <c r="I9" s="185">
        <f t="shared" si="1"/>
        <v>0</v>
      </c>
      <c r="J9" s="187"/>
      <c r="K9" s="187"/>
      <c r="L9" s="202"/>
    </row>
    <row r="10" spans="1:12" ht="38.25">
      <c r="A10" s="21">
        <f t="shared" si="2"/>
        <v>9</v>
      </c>
      <c r="B10" s="21" t="s">
        <v>1657</v>
      </c>
      <c r="C10" s="21" t="s">
        <v>1666</v>
      </c>
      <c r="D10" s="57" t="s">
        <v>522</v>
      </c>
      <c r="E10" s="57" t="s">
        <v>1679</v>
      </c>
      <c r="F10" s="21" t="s">
        <v>1581</v>
      </c>
      <c r="G10" s="21">
        <v>2</v>
      </c>
      <c r="H10" s="201">
        <f t="shared" si="0"/>
        <v>0</v>
      </c>
      <c r="I10" s="185">
        <f t="shared" si="1"/>
        <v>0</v>
      </c>
      <c r="J10" s="187"/>
      <c r="K10" s="187"/>
      <c r="L10" s="202"/>
    </row>
    <row r="11" spans="1:12" ht="63.75">
      <c r="A11" s="21">
        <f t="shared" si="2"/>
        <v>10</v>
      </c>
      <c r="B11" s="21" t="s">
        <v>1657</v>
      </c>
      <c r="C11" s="21" t="s">
        <v>1667</v>
      </c>
      <c r="D11" s="57" t="s">
        <v>522</v>
      </c>
      <c r="E11" s="57" t="s">
        <v>1680</v>
      </c>
      <c r="F11" s="21" t="s">
        <v>1581</v>
      </c>
      <c r="G11" s="21">
        <v>4</v>
      </c>
      <c r="H11" s="201">
        <f t="shared" si="0"/>
        <v>0</v>
      </c>
      <c r="I11" s="185">
        <f t="shared" si="1"/>
        <v>0</v>
      </c>
      <c r="J11" s="187"/>
      <c r="K11" s="187"/>
      <c r="L11" s="202"/>
    </row>
    <row r="12" spans="1:12" ht="38.25">
      <c r="A12" s="21">
        <f t="shared" si="2"/>
        <v>11</v>
      </c>
      <c r="B12" s="21" t="s">
        <v>1657</v>
      </c>
      <c r="C12" s="21" t="s">
        <v>1668</v>
      </c>
      <c r="D12" s="57" t="s">
        <v>522</v>
      </c>
      <c r="E12" s="57" t="s">
        <v>1681</v>
      </c>
      <c r="F12" s="21" t="s">
        <v>1581</v>
      </c>
      <c r="G12" s="21">
        <v>2</v>
      </c>
      <c r="H12" s="201">
        <f t="shared" si="0"/>
        <v>0</v>
      </c>
      <c r="I12" s="185">
        <f t="shared" si="1"/>
        <v>0</v>
      </c>
      <c r="J12" s="187"/>
      <c r="K12" s="187"/>
      <c r="L12" s="202"/>
    </row>
    <row r="13" spans="1:12" ht="63.75">
      <c r="A13" s="21">
        <f t="shared" si="2"/>
        <v>12</v>
      </c>
      <c r="B13" s="21" t="s">
        <v>1657</v>
      </c>
      <c r="C13" s="21" t="s">
        <v>1669</v>
      </c>
      <c r="D13" s="57" t="s">
        <v>522</v>
      </c>
      <c r="E13" s="57" t="s">
        <v>1682</v>
      </c>
      <c r="F13" s="21" t="s">
        <v>1614</v>
      </c>
      <c r="G13" s="21">
        <v>1</v>
      </c>
      <c r="H13" s="201">
        <f t="shared" si="0"/>
        <v>0</v>
      </c>
      <c r="I13" s="185">
        <f t="shared" si="1"/>
        <v>0</v>
      </c>
      <c r="J13" s="187"/>
      <c r="K13" s="187"/>
      <c r="L13" s="202"/>
    </row>
    <row r="14" spans="1:12" ht="76.5">
      <c r="A14" s="21">
        <f t="shared" si="2"/>
        <v>13</v>
      </c>
      <c r="B14" s="21" t="s">
        <v>1657</v>
      </c>
      <c r="C14" s="21" t="s">
        <v>1670</v>
      </c>
      <c r="D14" s="57" t="s">
        <v>522</v>
      </c>
      <c r="E14" s="57" t="s">
        <v>1683</v>
      </c>
      <c r="F14" s="21" t="s">
        <v>1614</v>
      </c>
      <c r="G14" s="21">
        <v>4</v>
      </c>
      <c r="H14" s="201">
        <f t="shared" si="0"/>
        <v>0</v>
      </c>
      <c r="I14" s="185">
        <f t="shared" si="1"/>
        <v>0</v>
      </c>
      <c r="J14" s="187"/>
      <c r="K14" s="187"/>
      <c r="L14" s="202"/>
    </row>
    <row r="15" spans="1:12">
      <c r="A15" s="21">
        <f t="shared" ref="A15:A17" si="3">ROW()-1</f>
        <v>14</v>
      </c>
      <c r="B15" s="21"/>
      <c r="C15" s="358" t="s">
        <v>76</v>
      </c>
      <c r="D15" s="358"/>
      <c r="E15" s="358"/>
      <c r="F15" s="358"/>
      <c r="G15" s="358"/>
      <c r="H15" s="358"/>
      <c r="I15" s="185">
        <f>SUM(I2:I2)</f>
        <v>0</v>
      </c>
      <c r="J15" s="188"/>
      <c r="L15" s="176"/>
    </row>
    <row r="16" spans="1:12">
      <c r="A16" s="21">
        <f t="shared" si="3"/>
        <v>15</v>
      </c>
      <c r="B16" s="21"/>
      <c r="C16" s="358" t="s">
        <v>1637</v>
      </c>
      <c r="D16" s="358"/>
      <c r="E16" s="358"/>
      <c r="F16" s="358"/>
      <c r="G16" s="358"/>
      <c r="H16" s="358"/>
      <c r="I16" s="185">
        <f>I15*18%</f>
        <v>0</v>
      </c>
    </row>
    <row r="17" spans="1:9">
      <c r="A17" s="21">
        <f t="shared" si="3"/>
        <v>16</v>
      </c>
      <c r="B17" s="21"/>
      <c r="C17" s="358" t="s">
        <v>742</v>
      </c>
      <c r="D17" s="358"/>
      <c r="E17" s="358"/>
      <c r="F17" s="358"/>
      <c r="G17" s="358"/>
      <c r="H17" s="358"/>
      <c r="I17" s="185">
        <f>SUM(I15:I16)</f>
        <v>0</v>
      </c>
    </row>
    <row r="18" spans="1:9">
      <c r="A18" s="398"/>
      <c r="B18" s="399"/>
      <c r="C18" s="399"/>
      <c r="D18" s="399"/>
      <c r="E18" s="399"/>
      <c r="F18" s="399"/>
      <c r="G18" s="399"/>
      <c r="H18" s="399"/>
      <c r="I18" s="400"/>
    </row>
    <row r="19" spans="1:9" ht="140.25" customHeight="1">
      <c r="A19" s="128" t="s">
        <v>80</v>
      </c>
      <c r="B19" s="360" t="s">
        <v>1585</v>
      </c>
      <c r="C19" s="360"/>
      <c r="D19" s="360"/>
      <c r="E19" s="360"/>
      <c r="F19" s="360"/>
      <c r="G19" s="360"/>
      <c r="H19" s="360"/>
      <c r="I19" s="361"/>
    </row>
  </sheetData>
  <mergeCells count="5">
    <mergeCell ref="C15:H15"/>
    <mergeCell ref="C16:H16"/>
    <mergeCell ref="C17:H17"/>
    <mergeCell ref="A18:I18"/>
    <mergeCell ref="B19:I19"/>
  </mergeCells>
  <printOptions horizontalCentered="1"/>
  <pageMargins left="0.31496062992125984" right="0.31496062992125984" top="0.55118110236220474" bottom="0.55118110236220474" header="0.31496062992125984" footer="0.31496062992125984"/>
  <pageSetup orientation="landscape" horizontalDpi="4294967292" r:id="rId1"/>
  <headerFooter>
    <oddFooter>Page &amp;P of &amp;N</oddFooter>
  </headerFooter>
  <legacyDrawing r:id="rId2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M7"/>
  <sheetViews>
    <sheetView zoomScaleNormal="100" workbookViewId="0">
      <selection activeCell="K7" sqref="K7"/>
    </sheetView>
  </sheetViews>
  <sheetFormatPr defaultColWidth="9.140625" defaultRowHeight="12.75"/>
  <cols>
    <col min="1" max="1" width="5.85546875" style="119" bestFit="1" customWidth="1"/>
    <col min="2" max="2" width="15.85546875" style="119" customWidth="1"/>
    <col min="3" max="3" width="18.7109375" style="119" customWidth="1"/>
    <col min="4" max="4" width="17.28515625" style="119" customWidth="1"/>
    <col min="5" max="5" width="50.85546875" style="119" customWidth="1"/>
    <col min="6" max="6" width="8.85546875" style="119" customWidth="1"/>
    <col min="7" max="7" width="11.5703125" style="119" customWidth="1"/>
    <col min="8" max="8" width="17" style="119" customWidth="1"/>
    <col min="9" max="9" width="15.42578125" style="119" customWidth="1"/>
    <col min="10" max="10" width="11.42578125" style="119" bestFit="1" customWidth="1"/>
    <col min="11" max="11" width="12.5703125" style="119" bestFit="1" customWidth="1"/>
    <col min="12" max="12" width="13" style="119" customWidth="1"/>
    <col min="13" max="13" width="13.140625" style="119" customWidth="1"/>
    <col min="14" max="16384" width="9.140625" style="119"/>
  </cols>
  <sheetData>
    <row r="1" spans="1:13">
      <c r="A1" s="152" t="s">
        <v>0</v>
      </c>
      <c r="B1" s="152" t="s">
        <v>503</v>
      </c>
      <c r="C1" s="117" t="s">
        <v>1604</v>
      </c>
      <c r="D1" s="117" t="s">
        <v>778</v>
      </c>
      <c r="E1" s="173" t="s">
        <v>67</v>
      </c>
      <c r="F1" s="173" t="s">
        <v>3</v>
      </c>
      <c r="G1" s="117" t="s">
        <v>1582</v>
      </c>
      <c r="H1" s="152" t="s">
        <v>1583</v>
      </c>
      <c r="I1" s="152" t="s">
        <v>1584</v>
      </c>
      <c r="J1" s="119" t="s">
        <v>1250</v>
      </c>
      <c r="K1" s="119" t="s">
        <v>145</v>
      </c>
    </row>
    <row r="2" spans="1:13" ht="89.25">
      <c r="A2" s="21">
        <f>ROW()-1</f>
        <v>1</v>
      </c>
      <c r="B2" s="21">
        <v>3000118471</v>
      </c>
      <c r="C2" s="21" t="s">
        <v>1684</v>
      </c>
      <c r="D2" s="57" t="s">
        <v>1685</v>
      </c>
      <c r="E2" s="57" t="s">
        <v>1686</v>
      </c>
      <c r="F2" s="21" t="s">
        <v>1614</v>
      </c>
      <c r="G2" s="21">
        <v>2</v>
      </c>
      <c r="H2" s="201">
        <v>73500</v>
      </c>
      <c r="I2" s="185">
        <f>H2*G2</f>
        <v>147000</v>
      </c>
      <c r="J2" s="188">
        <v>72000</v>
      </c>
      <c r="K2" s="187">
        <v>595</v>
      </c>
    </row>
    <row r="3" spans="1:13">
      <c r="A3" s="21">
        <f t="shared" ref="A3:A5" si="0">ROW()-1</f>
        <v>2</v>
      </c>
      <c r="B3" s="21"/>
      <c r="C3" s="358" t="s">
        <v>76</v>
      </c>
      <c r="D3" s="358"/>
      <c r="E3" s="358"/>
      <c r="F3" s="358"/>
      <c r="G3" s="358"/>
      <c r="H3" s="358"/>
      <c r="I3" s="185">
        <f>SUM(I2:I2)</f>
        <v>147000</v>
      </c>
      <c r="J3" s="188"/>
      <c r="K3" s="188">
        <f>K2*90*1.3</f>
        <v>69615</v>
      </c>
      <c r="L3" s="188">
        <f>K2*88*1.3</f>
        <v>68068</v>
      </c>
      <c r="M3" s="188">
        <f>K2*85*1.25</f>
        <v>63218.75</v>
      </c>
    </row>
    <row r="4" spans="1:13">
      <c r="A4" s="21">
        <f t="shared" si="0"/>
        <v>3</v>
      </c>
      <c r="B4" s="21"/>
      <c r="C4" s="358" t="s">
        <v>1637</v>
      </c>
      <c r="D4" s="358"/>
      <c r="E4" s="358"/>
      <c r="F4" s="358"/>
      <c r="G4" s="358"/>
      <c r="H4" s="358"/>
      <c r="I4" s="185">
        <f>I3*18%</f>
        <v>26460</v>
      </c>
      <c r="K4" s="188">
        <f>K3+1500</f>
        <v>71115</v>
      </c>
      <c r="L4" s="188">
        <f>L3+1500</f>
        <v>69568</v>
      </c>
      <c r="M4" s="188">
        <f>M3+1500</f>
        <v>64718.75</v>
      </c>
    </row>
    <row r="5" spans="1:13">
      <c r="A5" s="21">
        <f t="shared" si="0"/>
        <v>4</v>
      </c>
      <c r="B5" s="21"/>
      <c r="C5" s="358" t="s">
        <v>742</v>
      </c>
      <c r="D5" s="358"/>
      <c r="E5" s="358"/>
      <c r="F5" s="358"/>
      <c r="G5" s="358"/>
      <c r="H5" s="358"/>
      <c r="I5" s="185">
        <f>SUM(I3:I4)</f>
        <v>173460</v>
      </c>
      <c r="K5" s="188">
        <f>K4*2</f>
        <v>142230</v>
      </c>
      <c r="L5" s="188">
        <f>L4*2</f>
        <v>139136</v>
      </c>
      <c r="M5" s="188">
        <f>M4*2</f>
        <v>129437.5</v>
      </c>
    </row>
    <row r="6" spans="1:13">
      <c r="A6" s="398"/>
      <c r="B6" s="399"/>
      <c r="C6" s="399"/>
      <c r="D6" s="399"/>
      <c r="E6" s="399"/>
      <c r="F6" s="399"/>
      <c r="G6" s="399"/>
      <c r="H6" s="399"/>
      <c r="I6" s="400"/>
      <c r="K6" s="119">
        <v>140390</v>
      </c>
      <c r="L6" s="119" t="s">
        <v>1687</v>
      </c>
    </row>
    <row r="7" spans="1:13" ht="140.25" customHeight="1">
      <c r="A7" s="128" t="s">
        <v>80</v>
      </c>
      <c r="B7" s="360" t="s">
        <v>1585</v>
      </c>
      <c r="C7" s="360"/>
      <c r="D7" s="360"/>
      <c r="E7" s="360"/>
      <c r="F7" s="360"/>
      <c r="G7" s="360"/>
      <c r="H7" s="360"/>
      <c r="I7" s="361"/>
      <c r="K7" s="119">
        <f>K6/2</f>
        <v>70195</v>
      </c>
      <c r="L7" s="119">
        <f>K7-1500</f>
        <v>68695</v>
      </c>
    </row>
  </sheetData>
  <mergeCells count="5">
    <mergeCell ref="C3:H3"/>
    <mergeCell ref="C4:H4"/>
    <mergeCell ref="C5:H5"/>
    <mergeCell ref="A6:I6"/>
    <mergeCell ref="B7:I7"/>
  </mergeCells>
  <printOptions horizontalCentered="1"/>
  <pageMargins left="0.31496062992125984" right="0.31496062992125984" top="0.55118110236220474" bottom="0.55118110236220474" header="0.31496062992125984" footer="0.31496062992125984"/>
  <pageSetup orientation="landscape" horizontalDpi="4294967292" r:id="rId1"/>
  <headerFooter>
    <oddFooter>Page &amp;P of &amp;N</oddFooter>
  </headerFooter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M8"/>
  <sheetViews>
    <sheetView zoomScaleNormal="100" workbookViewId="0">
      <selection activeCell="L2" sqref="L2:L3"/>
    </sheetView>
  </sheetViews>
  <sheetFormatPr defaultColWidth="9.140625" defaultRowHeight="12.75"/>
  <cols>
    <col min="1" max="1" width="5.85546875" style="119" bestFit="1" customWidth="1"/>
    <col min="2" max="2" width="15.85546875" style="119" customWidth="1"/>
    <col min="3" max="3" width="18.7109375" style="119" customWidth="1"/>
    <col min="4" max="4" width="17.28515625" style="119" customWidth="1"/>
    <col min="5" max="5" width="50.85546875" style="119" customWidth="1"/>
    <col min="6" max="6" width="8.85546875" style="119" customWidth="1"/>
    <col min="7" max="7" width="11.5703125" style="119" customWidth="1"/>
    <col min="8" max="8" width="17" style="119" customWidth="1"/>
    <col min="9" max="9" width="15.42578125" style="119" customWidth="1"/>
    <col min="10" max="11" width="12.5703125" style="119" bestFit="1" customWidth="1"/>
    <col min="12" max="12" width="13" style="119" customWidth="1"/>
    <col min="13" max="13" width="13.140625" style="119" customWidth="1"/>
    <col min="14" max="16384" width="9.140625" style="119"/>
  </cols>
  <sheetData>
    <row r="1" spans="1:13">
      <c r="A1" s="152" t="s">
        <v>0</v>
      </c>
      <c r="B1" s="152" t="s">
        <v>503</v>
      </c>
      <c r="C1" s="117" t="s">
        <v>1604</v>
      </c>
      <c r="D1" s="117" t="s">
        <v>778</v>
      </c>
      <c r="E1" s="173" t="s">
        <v>67</v>
      </c>
      <c r="F1" s="173" t="s">
        <v>3</v>
      </c>
      <c r="G1" s="117" t="s">
        <v>1582</v>
      </c>
      <c r="H1" s="152" t="s">
        <v>1583</v>
      </c>
      <c r="I1" s="152" t="s">
        <v>1584</v>
      </c>
      <c r="J1" s="119" t="s">
        <v>1250</v>
      </c>
      <c r="K1" s="119" t="s">
        <v>145</v>
      </c>
      <c r="L1" s="119" t="s">
        <v>790</v>
      </c>
    </row>
    <row r="2" spans="1:13" ht="153">
      <c r="A2" s="152">
        <v>1</v>
      </c>
      <c r="B2" s="21" t="s">
        <v>2139</v>
      </c>
      <c r="C2" s="10" t="s">
        <v>1688</v>
      </c>
      <c r="D2" s="121" t="s">
        <v>1689</v>
      </c>
      <c r="E2" s="121" t="s">
        <v>1695</v>
      </c>
      <c r="F2" s="203" t="s">
        <v>1182</v>
      </c>
      <c r="G2" s="10">
        <v>1</v>
      </c>
      <c r="H2" s="204">
        <f>J2</f>
        <v>225000</v>
      </c>
      <c r="I2" s="204">
        <f>H2*G2</f>
        <v>225000</v>
      </c>
      <c r="J2" s="188">
        <v>225000</v>
      </c>
      <c r="K2" s="187">
        <v>2025</v>
      </c>
      <c r="L2" s="187">
        <v>1190</v>
      </c>
    </row>
    <row r="3" spans="1:13" ht="153">
      <c r="A3" s="21">
        <f>ROW()-1</f>
        <v>2</v>
      </c>
      <c r="B3" s="21" t="s">
        <v>2139</v>
      </c>
      <c r="C3" s="21" t="s">
        <v>1690</v>
      </c>
      <c r="D3" s="57" t="s">
        <v>1691</v>
      </c>
      <c r="E3" s="121" t="s">
        <v>1696</v>
      </c>
      <c r="F3" s="21" t="s">
        <v>1182</v>
      </c>
      <c r="G3" s="21">
        <v>1</v>
      </c>
      <c r="H3" s="201">
        <f>J3</f>
        <v>534600</v>
      </c>
      <c r="I3" s="185">
        <f>H3*G3</f>
        <v>534600</v>
      </c>
      <c r="J3" s="188">
        <v>534600</v>
      </c>
      <c r="K3" s="187">
        <v>3545</v>
      </c>
      <c r="L3" s="187">
        <v>3220</v>
      </c>
    </row>
    <row r="4" spans="1:13">
      <c r="A4" s="21">
        <f t="shared" ref="A4:A6" si="0">ROW()-1</f>
        <v>3</v>
      </c>
      <c r="B4" s="21"/>
      <c r="C4" s="358" t="s">
        <v>76</v>
      </c>
      <c r="D4" s="358"/>
      <c r="E4" s="358"/>
      <c r="F4" s="358"/>
      <c r="G4" s="358"/>
      <c r="H4" s="358"/>
      <c r="I4" s="185">
        <f>SUM(I2:I3)</f>
        <v>759600</v>
      </c>
      <c r="J4" s="188"/>
      <c r="K4" s="188"/>
      <c r="L4" s="188"/>
      <c r="M4" s="188"/>
    </row>
    <row r="5" spans="1:13">
      <c r="A5" s="21">
        <f t="shared" si="0"/>
        <v>4</v>
      </c>
      <c r="B5" s="21"/>
      <c r="C5" s="358" t="s">
        <v>1637</v>
      </c>
      <c r="D5" s="358"/>
      <c r="E5" s="358"/>
      <c r="F5" s="358"/>
      <c r="G5" s="358"/>
      <c r="H5" s="358"/>
      <c r="I5" s="185">
        <f>I4*18%</f>
        <v>136728</v>
      </c>
      <c r="K5" s="188"/>
      <c r="L5" s="188"/>
      <c r="M5" s="188"/>
    </row>
    <row r="6" spans="1:13">
      <c r="A6" s="21">
        <f t="shared" si="0"/>
        <v>5</v>
      </c>
      <c r="B6" s="21"/>
      <c r="C6" s="358" t="s">
        <v>742</v>
      </c>
      <c r="D6" s="358"/>
      <c r="E6" s="358"/>
      <c r="F6" s="358"/>
      <c r="G6" s="358"/>
      <c r="H6" s="358"/>
      <c r="I6" s="185">
        <f>SUM(I4:I5)</f>
        <v>896328</v>
      </c>
      <c r="K6" s="188"/>
      <c r="L6" s="188"/>
      <c r="M6" s="188"/>
    </row>
    <row r="7" spans="1:13">
      <c r="A7" s="398"/>
      <c r="B7" s="399"/>
      <c r="C7" s="399"/>
      <c r="D7" s="399"/>
      <c r="E7" s="399"/>
      <c r="F7" s="399"/>
      <c r="G7" s="399"/>
      <c r="H7" s="399"/>
      <c r="I7" s="400"/>
    </row>
    <row r="8" spans="1:13" ht="140.25" customHeight="1">
      <c r="A8" s="128" t="s">
        <v>80</v>
      </c>
      <c r="B8" s="360" t="s">
        <v>1585</v>
      </c>
      <c r="C8" s="360"/>
      <c r="D8" s="360"/>
      <c r="E8" s="360"/>
      <c r="F8" s="360"/>
      <c r="G8" s="360"/>
      <c r="H8" s="360"/>
      <c r="I8" s="361"/>
    </row>
  </sheetData>
  <mergeCells count="5">
    <mergeCell ref="C4:H4"/>
    <mergeCell ref="C5:H5"/>
    <mergeCell ref="C6:H6"/>
    <mergeCell ref="A7:I7"/>
    <mergeCell ref="B8:I8"/>
  </mergeCells>
  <printOptions horizontalCentered="1"/>
  <pageMargins left="0.31496062992125984" right="0.31496062992125984" top="0.55118110236220474" bottom="0.55118110236220474" header="0.31496062992125984" footer="0.31496062992125984"/>
  <pageSetup orientation="landscape" horizontalDpi="4294967292" r:id="rId1"/>
  <headerFooter>
    <oddFooter>Page &amp;P of &amp;N</oddFooter>
  </headerFooter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M7"/>
  <sheetViews>
    <sheetView zoomScaleNormal="100" workbookViewId="0">
      <selection activeCell="K3" sqref="K3"/>
    </sheetView>
  </sheetViews>
  <sheetFormatPr defaultColWidth="9.140625" defaultRowHeight="12.75"/>
  <cols>
    <col min="1" max="1" width="5.85546875" style="119" bestFit="1" customWidth="1"/>
    <col min="2" max="2" width="15.85546875" style="119" customWidth="1"/>
    <col min="3" max="3" width="18.7109375" style="119" customWidth="1"/>
    <col min="4" max="4" width="17.28515625" style="119" customWidth="1"/>
    <col min="5" max="5" width="50.85546875" style="119" customWidth="1"/>
    <col min="6" max="6" width="8.85546875" style="119" customWidth="1"/>
    <col min="7" max="7" width="11.5703125" style="119" customWidth="1"/>
    <col min="8" max="8" width="17" style="119" customWidth="1"/>
    <col min="9" max="9" width="15.42578125" style="119" customWidth="1"/>
    <col min="10" max="10" width="11.42578125" style="119" bestFit="1" customWidth="1"/>
    <col min="11" max="11" width="16.28515625" style="119" bestFit="1" customWidth="1"/>
    <col min="12" max="12" width="13" style="119" customWidth="1"/>
    <col min="13" max="13" width="13.140625" style="119" customWidth="1"/>
    <col min="14" max="16384" width="9.140625" style="119"/>
  </cols>
  <sheetData>
    <row r="1" spans="1:13">
      <c r="A1" s="152" t="s">
        <v>0</v>
      </c>
      <c r="B1" s="152" t="s">
        <v>503</v>
      </c>
      <c r="C1" s="117" t="s">
        <v>1604</v>
      </c>
      <c r="D1" s="117" t="s">
        <v>778</v>
      </c>
      <c r="E1" s="173" t="s">
        <v>67</v>
      </c>
      <c r="F1" s="173" t="s">
        <v>3</v>
      </c>
      <c r="G1" s="117" t="s">
        <v>1582</v>
      </c>
      <c r="H1" s="152" t="s">
        <v>1583</v>
      </c>
      <c r="I1" s="152" t="s">
        <v>1584</v>
      </c>
      <c r="J1" s="119" t="s">
        <v>1250</v>
      </c>
      <c r="K1" s="119" t="s">
        <v>1697</v>
      </c>
    </row>
    <row r="2" spans="1:13" ht="63.75">
      <c r="A2" s="152">
        <v>1</v>
      </c>
      <c r="B2" s="21">
        <v>3000118839</v>
      </c>
      <c r="C2" s="10" t="s">
        <v>1692</v>
      </c>
      <c r="D2" s="121" t="s">
        <v>1693</v>
      </c>
      <c r="E2" s="121" t="s">
        <v>1694</v>
      </c>
      <c r="F2" s="203" t="s">
        <v>75</v>
      </c>
      <c r="G2" s="10">
        <v>8</v>
      </c>
      <c r="H2" s="204">
        <f>J2</f>
        <v>13293.999999999998</v>
      </c>
      <c r="I2" s="204">
        <f>H2*G2</f>
        <v>106351.99999999999</v>
      </c>
      <c r="J2" s="188">
        <f>K2*1.15</f>
        <v>13293.999999999998</v>
      </c>
      <c r="K2" s="188">
        <v>11560</v>
      </c>
    </row>
    <row r="3" spans="1:13">
      <c r="A3" s="21">
        <f t="shared" ref="A3:A5" si="0">ROW()-1</f>
        <v>2</v>
      </c>
      <c r="B3" s="21"/>
      <c r="C3" s="358" t="s">
        <v>76</v>
      </c>
      <c r="D3" s="358"/>
      <c r="E3" s="358"/>
      <c r="F3" s="358"/>
      <c r="G3" s="358"/>
      <c r="H3" s="358"/>
      <c r="I3" s="185">
        <f>SUM(I2)</f>
        <v>106351.99999999999</v>
      </c>
      <c r="J3" s="188"/>
      <c r="K3" s="188" t="s">
        <v>1735</v>
      </c>
      <c r="L3" s="188"/>
      <c r="M3" s="188"/>
    </row>
    <row r="4" spans="1:13">
      <c r="A4" s="21">
        <f t="shared" si="0"/>
        <v>3</v>
      </c>
      <c r="B4" s="21"/>
      <c r="C4" s="358" t="s">
        <v>1637</v>
      </c>
      <c r="D4" s="358"/>
      <c r="E4" s="358"/>
      <c r="F4" s="358"/>
      <c r="G4" s="358"/>
      <c r="H4" s="358"/>
      <c r="I4" s="185">
        <f>I3*18%</f>
        <v>19143.359999999997</v>
      </c>
      <c r="K4" s="188"/>
      <c r="L4" s="188"/>
      <c r="M4" s="188"/>
    </row>
    <row r="5" spans="1:13">
      <c r="A5" s="21">
        <f t="shared" si="0"/>
        <v>4</v>
      </c>
      <c r="B5" s="21"/>
      <c r="C5" s="358" t="s">
        <v>742</v>
      </c>
      <c r="D5" s="358"/>
      <c r="E5" s="358"/>
      <c r="F5" s="358"/>
      <c r="G5" s="358"/>
      <c r="H5" s="358"/>
      <c r="I5" s="185">
        <f>SUM(I3:I4)</f>
        <v>125495.35999999999</v>
      </c>
      <c r="K5" s="188"/>
      <c r="L5" s="188"/>
      <c r="M5" s="188"/>
    </row>
    <row r="6" spans="1:13">
      <c r="A6" s="398"/>
      <c r="B6" s="399"/>
      <c r="C6" s="399"/>
      <c r="D6" s="399"/>
      <c r="E6" s="399"/>
      <c r="F6" s="399"/>
      <c r="G6" s="399"/>
      <c r="H6" s="399"/>
      <c r="I6" s="400"/>
    </row>
    <row r="7" spans="1:13" ht="140.25" customHeight="1">
      <c r="A7" s="128" t="s">
        <v>80</v>
      </c>
      <c r="B7" s="360" t="s">
        <v>1585</v>
      </c>
      <c r="C7" s="360"/>
      <c r="D7" s="360"/>
      <c r="E7" s="360"/>
      <c r="F7" s="360"/>
      <c r="G7" s="360"/>
      <c r="H7" s="360"/>
      <c r="I7" s="361"/>
    </row>
  </sheetData>
  <mergeCells count="5">
    <mergeCell ref="C3:H3"/>
    <mergeCell ref="C4:H4"/>
    <mergeCell ref="C5:H5"/>
    <mergeCell ref="A6:I6"/>
    <mergeCell ref="B7:I7"/>
  </mergeCells>
  <printOptions horizontalCentered="1"/>
  <pageMargins left="0.31496062992125984" right="0.31496062992125984" top="0.55118110236220474" bottom="0.55118110236220474" header="0.31496062992125984" footer="0.31496062992125984"/>
  <pageSetup orientation="landscape" horizontalDpi="4294967292" r:id="rId1"/>
  <headerFooter>
    <oddFooter>Page &amp;P of &amp;N</oddFooter>
  </headerFooter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M8"/>
  <sheetViews>
    <sheetView zoomScaleNormal="100" workbookViewId="0">
      <selection activeCell="K4" sqref="K4"/>
    </sheetView>
  </sheetViews>
  <sheetFormatPr defaultColWidth="9.140625" defaultRowHeight="12.75"/>
  <cols>
    <col min="1" max="1" width="5.85546875" style="119" bestFit="1" customWidth="1"/>
    <col min="2" max="2" width="15.85546875" style="119" customWidth="1"/>
    <col min="3" max="3" width="18.7109375" style="119" customWidth="1"/>
    <col min="4" max="4" width="22" style="119" customWidth="1"/>
    <col min="5" max="5" width="50.85546875" style="119" customWidth="1"/>
    <col min="6" max="6" width="8.85546875" style="119" customWidth="1"/>
    <col min="7" max="7" width="11.5703125" style="119" customWidth="1"/>
    <col min="8" max="8" width="17" style="119" customWidth="1"/>
    <col min="9" max="9" width="15.42578125" style="119" customWidth="1"/>
    <col min="10" max="10" width="11.42578125" style="119" bestFit="1" customWidth="1"/>
    <col min="11" max="11" width="12.5703125" style="119" bestFit="1" customWidth="1"/>
    <col min="12" max="12" width="13" style="119" customWidth="1"/>
    <col min="13" max="13" width="13.140625" style="119" customWidth="1"/>
    <col min="14" max="16384" width="9.140625" style="119"/>
  </cols>
  <sheetData>
    <row r="1" spans="1:13">
      <c r="A1" s="152" t="s">
        <v>0</v>
      </c>
      <c r="B1" s="152" t="s">
        <v>503</v>
      </c>
      <c r="C1" s="117" t="s">
        <v>1604</v>
      </c>
      <c r="D1" s="117" t="s">
        <v>778</v>
      </c>
      <c r="E1" s="173" t="s">
        <v>67</v>
      </c>
      <c r="F1" s="173" t="s">
        <v>3</v>
      </c>
      <c r="G1" s="117" t="s">
        <v>1582</v>
      </c>
      <c r="H1" s="152" t="s">
        <v>1583</v>
      </c>
      <c r="I1" s="152" t="s">
        <v>1584</v>
      </c>
      <c r="J1" s="119" t="s">
        <v>1250</v>
      </c>
      <c r="K1" s="119" t="s">
        <v>1697</v>
      </c>
    </row>
    <row r="2" spans="1:13" ht="102">
      <c r="A2" s="152">
        <f>ROW()-1</f>
        <v>1</v>
      </c>
      <c r="B2" s="21">
        <v>3000115852</v>
      </c>
      <c r="C2" s="10" t="s">
        <v>1698</v>
      </c>
      <c r="D2" s="121" t="s">
        <v>1701</v>
      </c>
      <c r="E2" s="121" t="s">
        <v>1703</v>
      </c>
      <c r="F2" s="203" t="s">
        <v>1614</v>
      </c>
      <c r="G2" s="10">
        <v>2</v>
      </c>
      <c r="H2" s="204">
        <f>J2</f>
        <v>0</v>
      </c>
      <c r="I2" s="204">
        <f>H2*G2</f>
        <v>0</v>
      </c>
      <c r="J2" s="188"/>
      <c r="K2" s="188"/>
    </row>
    <row r="3" spans="1:13" ht="102">
      <c r="A3" s="152">
        <v>1</v>
      </c>
      <c r="B3" s="21">
        <v>3000115852</v>
      </c>
      <c r="C3" s="10" t="s">
        <v>1699</v>
      </c>
      <c r="D3" s="121" t="s">
        <v>1700</v>
      </c>
      <c r="E3" s="121" t="s">
        <v>1702</v>
      </c>
      <c r="F3" s="203" t="s">
        <v>1614</v>
      </c>
      <c r="G3" s="10">
        <v>2</v>
      </c>
      <c r="H3" s="204">
        <f>J3</f>
        <v>0</v>
      </c>
      <c r="I3" s="204">
        <f>H3*G3</f>
        <v>0</v>
      </c>
      <c r="J3" s="188"/>
      <c r="K3" s="188" t="s">
        <v>116</v>
      </c>
    </row>
    <row r="4" spans="1:13">
      <c r="A4" s="21">
        <f t="shared" ref="A4:A6" si="0">ROW()-1</f>
        <v>3</v>
      </c>
      <c r="B4" s="21"/>
      <c r="C4" s="358" t="s">
        <v>76</v>
      </c>
      <c r="D4" s="358"/>
      <c r="E4" s="358"/>
      <c r="F4" s="358"/>
      <c r="G4" s="358"/>
      <c r="H4" s="358"/>
      <c r="I4" s="185">
        <f>SUM(I2)</f>
        <v>0</v>
      </c>
      <c r="J4" s="188"/>
      <c r="K4" s="188"/>
      <c r="L4" s="188"/>
      <c r="M4" s="188"/>
    </row>
    <row r="5" spans="1:13">
      <c r="A5" s="21">
        <f t="shared" si="0"/>
        <v>4</v>
      </c>
      <c r="B5" s="21"/>
      <c r="C5" s="358" t="s">
        <v>1637</v>
      </c>
      <c r="D5" s="358"/>
      <c r="E5" s="358"/>
      <c r="F5" s="358"/>
      <c r="G5" s="358"/>
      <c r="H5" s="358"/>
      <c r="I5" s="185">
        <f>I4*18%</f>
        <v>0</v>
      </c>
      <c r="K5" s="188"/>
      <c r="L5" s="188"/>
      <c r="M5" s="188"/>
    </row>
    <row r="6" spans="1:13">
      <c r="A6" s="21">
        <f t="shared" si="0"/>
        <v>5</v>
      </c>
      <c r="B6" s="21"/>
      <c r="C6" s="358" t="s">
        <v>742</v>
      </c>
      <c r="D6" s="358"/>
      <c r="E6" s="358"/>
      <c r="F6" s="358"/>
      <c r="G6" s="358"/>
      <c r="H6" s="358"/>
      <c r="I6" s="185">
        <f>SUM(I4:I5)</f>
        <v>0</v>
      </c>
      <c r="K6" s="188"/>
      <c r="L6" s="188"/>
      <c r="M6" s="188"/>
    </row>
    <row r="7" spans="1:13">
      <c r="A7" s="398"/>
      <c r="B7" s="399"/>
      <c r="C7" s="399"/>
      <c r="D7" s="399"/>
      <c r="E7" s="399"/>
      <c r="F7" s="399"/>
      <c r="G7" s="399"/>
      <c r="H7" s="399"/>
      <c r="I7" s="400"/>
    </row>
    <row r="8" spans="1:13" ht="140.25" customHeight="1">
      <c r="A8" s="128" t="s">
        <v>80</v>
      </c>
      <c r="B8" s="360" t="s">
        <v>1585</v>
      </c>
      <c r="C8" s="360"/>
      <c r="D8" s="360"/>
      <c r="E8" s="360"/>
      <c r="F8" s="360"/>
      <c r="G8" s="360"/>
      <c r="H8" s="360"/>
      <c r="I8" s="361"/>
    </row>
  </sheetData>
  <mergeCells count="5">
    <mergeCell ref="C4:H4"/>
    <mergeCell ref="C5:H5"/>
    <mergeCell ref="C6:H6"/>
    <mergeCell ref="A7:I7"/>
    <mergeCell ref="B8:I8"/>
  </mergeCells>
  <printOptions horizontalCentered="1"/>
  <pageMargins left="0.31496062992125984" right="0.31496062992125984" top="0.55118110236220474" bottom="0.55118110236220474" header="0.31496062992125984" footer="0.31496062992125984"/>
  <pageSetup orientation="landscape" horizontalDpi="4294967292" r:id="rId1"/>
  <headerFooter>
    <oddFooter>Page &amp;P of &amp;N</oddFooter>
  </headerFooter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M16"/>
  <sheetViews>
    <sheetView topLeftCell="B8" zoomScaleNormal="100" workbookViewId="0">
      <selection activeCell="E11" sqref="E11"/>
    </sheetView>
  </sheetViews>
  <sheetFormatPr defaultColWidth="9.140625" defaultRowHeight="12.75"/>
  <cols>
    <col min="1" max="1" width="5.85546875" style="119" bestFit="1" customWidth="1"/>
    <col min="2" max="2" width="15.85546875" style="119" customWidth="1"/>
    <col min="3" max="3" width="18.7109375" style="119" customWidth="1"/>
    <col min="4" max="4" width="22" style="119" customWidth="1"/>
    <col min="5" max="5" width="53.28515625" style="119" customWidth="1"/>
    <col min="6" max="6" width="8.85546875" style="119" customWidth="1"/>
    <col min="7" max="7" width="11.5703125" style="119" customWidth="1"/>
    <col min="8" max="8" width="17" style="119" customWidth="1"/>
    <col min="9" max="9" width="15.42578125" style="119" customWidth="1"/>
    <col min="10" max="10" width="11.42578125" style="119" bestFit="1" customWidth="1"/>
    <col min="11" max="11" width="12.5703125" style="119" bestFit="1" customWidth="1"/>
    <col min="12" max="12" width="13" style="119" customWidth="1"/>
    <col min="13" max="13" width="13.140625" style="119" customWidth="1"/>
    <col min="14" max="16384" width="9.140625" style="119"/>
  </cols>
  <sheetData>
    <row r="1" spans="1:13">
      <c r="A1" s="152" t="s">
        <v>0</v>
      </c>
      <c r="B1" s="152" t="s">
        <v>503</v>
      </c>
      <c r="C1" s="117" t="s">
        <v>1604</v>
      </c>
      <c r="D1" s="117" t="s">
        <v>778</v>
      </c>
      <c r="E1" s="173" t="s">
        <v>67</v>
      </c>
      <c r="F1" s="173" t="s">
        <v>3</v>
      </c>
      <c r="G1" s="117" t="s">
        <v>1582</v>
      </c>
      <c r="H1" s="152" t="s">
        <v>1583</v>
      </c>
      <c r="I1" s="152" t="s">
        <v>1584</v>
      </c>
      <c r="J1" s="119" t="s">
        <v>1250</v>
      </c>
      <c r="K1" s="119" t="s">
        <v>1697</v>
      </c>
    </row>
    <row r="2" spans="1:13" ht="165.75">
      <c r="A2" s="152">
        <v>1</v>
      </c>
      <c r="B2" s="21" t="s">
        <v>565</v>
      </c>
      <c r="C2" s="10" t="s">
        <v>1705</v>
      </c>
      <c r="D2" s="121" t="s">
        <v>1706</v>
      </c>
      <c r="E2" s="121" t="s">
        <v>1707</v>
      </c>
      <c r="F2" s="203" t="s">
        <v>121</v>
      </c>
      <c r="G2" s="10">
        <v>1</v>
      </c>
      <c r="H2" s="152"/>
      <c r="I2" s="152"/>
    </row>
    <row r="3" spans="1:13" ht="114.75">
      <c r="A3" s="152">
        <v>2</v>
      </c>
      <c r="B3" s="21" t="s">
        <v>565</v>
      </c>
      <c r="C3" s="10" t="s">
        <v>1708</v>
      </c>
      <c r="D3" s="121" t="s">
        <v>1709</v>
      </c>
      <c r="E3" s="121" t="s">
        <v>1710</v>
      </c>
      <c r="F3" s="203" t="s">
        <v>1182</v>
      </c>
      <c r="G3" s="10">
        <v>1</v>
      </c>
      <c r="H3" s="152"/>
      <c r="I3" s="152"/>
    </row>
    <row r="4" spans="1:13" ht="102">
      <c r="A4" s="152">
        <v>3</v>
      </c>
      <c r="B4" s="21" t="s">
        <v>565</v>
      </c>
      <c r="C4" s="10" t="s">
        <v>1711</v>
      </c>
      <c r="D4" s="121" t="s">
        <v>1712</v>
      </c>
      <c r="E4" s="121" t="s">
        <v>1713</v>
      </c>
      <c r="F4" s="203" t="s">
        <v>1182</v>
      </c>
      <c r="G4" s="10">
        <v>1</v>
      </c>
      <c r="H4" s="152"/>
      <c r="I4" s="152"/>
    </row>
    <row r="5" spans="1:13" ht="114.75">
      <c r="A5" s="152">
        <v>4</v>
      </c>
      <c r="B5" s="21" t="s">
        <v>565</v>
      </c>
      <c r="C5" s="10" t="s">
        <v>1714</v>
      </c>
      <c r="D5" s="121" t="s">
        <v>1715</v>
      </c>
      <c r="E5" s="205" t="s">
        <v>1733</v>
      </c>
      <c r="F5" s="203" t="s">
        <v>1182</v>
      </c>
      <c r="G5" s="10">
        <v>1</v>
      </c>
      <c r="H5" s="152"/>
      <c r="I5" s="152"/>
    </row>
    <row r="6" spans="1:13" ht="102">
      <c r="A6" s="152">
        <v>5</v>
      </c>
      <c r="B6" s="21" t="s">
        <v>565</v>
      </c>
      <c r="C6" s="10" t="s">
        <v>1716</v>
      </c>
      <c r="D6" s="121" t="s">
        <v>1717</v>
      </c>
      <c r="E6" s="121" t="s">
        <v>1718</v>
      </c>
      <c r="F6" s="203" t="s">
        <v>1182</v>
      </c>
      <c r="G6" s="10">
        <v>1</v>
      </c>
      <c r="H6" s="152"/>
      <c r="I6" s="152"/>
    </row>
    <row r="7" spans="1:13" ht="102">
      <c r="A7" s="152">
        <v>6</v>
      </c>
      <c r="B7" s="21" t="s">
        <v>565</v>
      </c>
      <c r="C7" s="10" t="s">
        <v>1719</v>
      </c>
      <c r="D7" s="121" t="s">
        <v>1720</v>
      </c>
      <c r="E7" s="121" t="s">
        <v>1721</v>
      </c>
      <c r="F7" s="203" t="s">
        <v>1182</v>
      </c>
      <c r="G7" s="10">
        <v>1</v>
      </c>
      <c r="H7" s="152"/>
      <c r="I7" s="152"/>
    </row>
    <row r="8" spans="1:13" ht="114.75">
      <c r="A8" s="152">
        <v>7</v>
      </c>
      <c r="B8" s="21" t="s">
        <v>565</v>
      </c>
      <c r="C8" s="10" t="s">
        <v>1722</v>
      </c>
      <c r="D8" s="121" t="s">
        <v>1723</v>
      </c>
      <c r="E8" s="121" t="s">
        <v>1724</v>
      </c>
      <c r="F8" s="203" t="s">
        <v>1182</v>
      </c>
      <c r="G8" s="10">
        <v>1</v>
      </c>
      <c r="H8" s="152"/>
      <c r="I8" s="152"/>
    </row>
    <row r="9" spans="1:13" ht="114.75">
      <c r="A9" s="152">
        <v>8</v>
      </c>
      <c r="B9" s="21" t="s">
        <v>565</v>
      </c>
      <c r="C9" s="10" t="s">
        <v>1725</v>
      </c>
      <c r="D9" s="121" t="s">
        <v>1726</v>
      </c>
      <c r="E9" s="121" t="s">
        <v>1727</v>
      </c>
      <c r="F9" s="203" t="s">
        <v>1182</v>
      </c>
      <c r="G9" s="10">
        <v>1</v>
      </c>
      <c r="H9" s="152"/>
      <c r="I9" s="152"/>
    </row>
    <row r="10" spans="1:13" ht="102">
      <c r="A10" s="152">
        <f>ROW()-1</f>
        <v>9</v>
      </c>
      <c r="B10" s="21" t="s">
        <v>565</v>
      </c>
      <c r="C10" s="10" t="s">
        <v>1728</v>
      </c>
      <c r="D10" s="121" t="s">
        <v>1729</v>
      </c>
      <c r="E10" s="121" t="s">
        <v>1730</v>
      </c>
      <c r="F10" s="203" t="s">
        <v>1182</v>
      </c>
      <c r="G10" s="10">
        <v>1</v>
      </c>
      <c r="H10" s="204">
        <f>J10</f>
        <v>0</v>
      </c>
      <c r="I10" s="204">
        <f>H10*G10</f>
        <v>0</v>
      </c>
      <c r="J10" s="188"/>
      <c r="K10" s="188"/>
    </row>
    <row r="11" spans="1:13" ht="102">
      <c r="A11" s="152">
        <v>10</v>
      </c>
      <c r="B11" s="21" t="s">
        <v>565</v>
      </c>
      <c r="C11" s="10" t="s">
        <v>1731</v>
      </c>
      <c r="D11" s="121" t="s">
        <v>1723</v>
      </c>
      <c r="E11" s="121" t="s">
        <v>1732</v>
      </c>
      <c r="F11" s="203" t="s">
        <v>1182</v>
      </c>
      <c r="G11" s="10">
        <v>1</v>
      </c>
      <c r="H11" s="204">
        <f>J11</f>
        <v>0</v>
      </c>
      <c r="I11" s="204">
        <f>H11*G11</f>
        <v>0</v>
      </c>
      <c r="J11" s="188"/>
      <c r="K11" s="188"/>
    </row>
    <row r="12" spans="1:13">
      <c r="A12" s="21">
        <f t="shared" ref="A12:A14" si="0">ROW()-1</f>
        <v>11</v>
      </c>
      <c r="B12" s="21"/>
      <c r="C12" s="358" t="s">
        <v>76</v>
      </c>
      <c r="D12" s="358"/>
      <c r="E12" s="358"/>
      <c r="F12" s="358"/>
      <c r="G12" s="358"/>
      <c r="H12" s="358"/>
      <c r="I12" s="185">
        <f>SUM(I10)</f>
        <v>0</v>
      </c>
      <c r="J12" s="188"/>
      <c r="K12" s="188"/>
      <c r="L12" s="188"/>
      <c r="M12" s="188"/>
    </row>
    <row r="13" spans="1:13">
      <c r="A13" s="21">
        <f t="shared" si="0"/>
        <v>12</v>
      </c>
      <c r="B13" s="21"/>
      <c r="C13" s="358" t="s">
        <v>1637</v>
      </c>
      <c r="D13" s="358"/>
      <c r="E13" s="358"/>
      <c r="F13" s="358"/>
      <c r="G13" s="358"/>
      <c r="H13" s="358"/>
      <c r="I13" s="185">
        <f>I12*18%</f>
        <v>0</v>
      </c>
      <c r="K13" s="188"/>
      <c r="L13" s="188"/>
      <c r="M13" s="188"/>
    </row>
    <row r="14" spans="1:13">
      <c r="A14" s="21">
        <f t="shared" si="0"/>
        <v>13</v>
      </c>
      <c r="B14" s="21"/>
      <c r="C14" s="358" t="s">
        <v>742</v>
      </c>
      <c r="D14" s="358"/>
      <c r="E14" s="358"/>
      <c r="F14" s="358"/>
      <c r="G14" s="358"/>
      <c r="H14" s="358"/>
      <c r="I14" s="185">
        <f>SUM(I12:I13)</f>
        <v>0</v>
      </c>
      <c r="K14" s="188"/>
      <c r="L14" s="188"/>
      <c r="M14" s="188"/>
    </row>
    <row r="15" spans="1:13">
      <c r="A15" s="398"/>
      <c r="B15" s="399"/>
      <c r="C15" s="399"/>
      <c r="D15" s="399"/>
      <c r="E15" s="399"/>
      <c r="F15" s="399"/>
      <c r="G15" s="399"/>
      <c r="H15" s="399"/>
      <c r="I15" s="400"/>
    </row>
    <row r="16" spans="1:13" ht="140.25" customHeight="1">
      <c r="A16" s="128" t="s">
        <v>80</v>
      </c>
      <c r="B16" s="360" t="s">
        <v>1585</v>
      </c>
      <c r="C16" s="360"/>
      <c r="D16" s="360"/>
      <c r="E16" s="360"/>
      <c r="F16" s="360"/>
      <c r="G16" s="360"/>
      <c r="H16" s="360"/>
      <c r="I16" s="361"/>
    </row>
  </sheetData>
  <mergeCells count="5">
    <mergeCell ref="C12:H12"/>
    <mergeCell ref="C13:H13"/>
    <mergeCell ref="C14:H14"/>
    <mergeCell ref="A15:I15"/>
    <mergeCell ref="B16:I16"/>
  </mergeCells>
  <printOptions horizontalCentered="1"/>
  <pageMargins left="0.31496062992125984" right="0.31496062992125984" top="0.55118110236220474" bottom="0.55118110236220474" header="0.31496062992125984" footer="0.31496062992125984"/>
  <pageSetup orientation="landscape" horizontalDpi="4294967292" r:id="rId1"/>
  <headerFooter>
    <oddFooter>Page &amp;P of &amp;N</oddFooter>
  </headerFooter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M10"/>
  <sheetViews>
    <sheetView zoomScaleNormal="100" workbookViewId="0">
      <selection activeCell="E1" sqref="E1:G5"/>
    </sheetView>
  </sheetViews>
  <sheetFormatPr defaultColWidth="9.140625" defaultRowHeight="12.75"/>
  <cols>
    <col min="1" max="1" width="5.85546875" style="119" bestFit="1" customWidth="1"/>
    <col min="2" max="2" width="15.85546875" style="119" customWidth="1"/>
    <col min="3" max="3" width="18.7109375" style="119" customWidth="1"/>
    <col min="4" max="4" width="22" style="119" customWidth="1"/>
    <col min="5" max="5" width="53.28515625" style="119" customWidth="1"/>
    <col min="6" max="6" width="8.85546875" style="119" customWidth="1"/>
    <col min="7" max="7" width="11.5703125" style="119" customWidth="1"/>
    <col min="8" max="8" width="17" style="119" customWidth="1"/>
    <col min="9" max="9" width="15.42578125" style="119" customWidth="1"/>
    <col min="10" max="10" width="11.42578125" style="119" bestFit="1" customWidth="1"/>
    <col min="11" max="11" width="12.5703125" style="119" bestFit="1" customWidth="1"/>
    <col min="12" max="12" width="13" style="119" customWidth="1"/>
    <col min="13" max="13" width="13.140625" style="119" customWidth="1"/>
    <col min="14" max="16384" width="9.140625" style="119"/>
  </cols>
  <sheetData>
    <row r="1" spans="1:13">
      <c r="A1" s="152" t="s">
        <v>0</v>
      </c>
      <c r="B1" s="152" t="s">
        <v>503</v>
      </c>
      <c r="C1" s="117" t="s">
        <v>1604</v>
      </c>
      <c r="D1" s="117" t="s">
        <v>778</v>
      </c>
      <c r="E1" s="173" t="s">
        <v>67</v>
      </c>
      <c r="F1" s="173" t="s">
        <v>3</v>
      </c>
      <c r="G1" s="117" t="s">
        <v>1582</v>
      </c>
      <c r="H1" s="152" t="s">
        <v>1583</v>
      </c>
      <c r="I1" s="152" t="s">
        <v>1584</v>
      </c>
      <c r="J1" s="119" t="s">
        <v>1250</v>
      </c>
      <c r="K1" s="119" t="s">
        <v>1697</v>
      </c>
    </row>
    <row r="2" spans="1:13" ht="76.5">
      <c r="A2" s="152">
        <v>1</v>
      </c>
      <c r="B2" s="21">
        <v>3000120101</v>
      </c>
      <c r="C2" s="10" t="s">
        <v>1744</v>
      </c>
      <c r="D2" s="121" t="s">
        <v>1748</v>
      </c>
      <c r="E2" s="121" t="s">
        <v>1752</v>
      </c>
      <c r="F2" s="203" t="s">
        <v>1243</v>
      </c>
      <c r="G2" s="10">
        <v>150</v>
      </c>
      <c r="H2" s="152"/>
      <c r="I2" s="152"/>
    </row>
    <row r="3" spans="1:13" ht="76.5">
      <c r="A3" s="152">
        <v>2</v>
      </c>
      <c r="B3" s="21">
        <v>3000120101</v>
      </c>
      <c r="C3" s="10" t="s">
        <v>1745</v>
      </c>
      <c r="D3" s="121" t="s">
        <v>1749</v>
      </c>
      <c r="E3" s="121" t="s">
        <v>1753</v>
      </c>
      <c r="F3" s="203" t="s">
        <v>1243</v>
      </c>
      <c r="G3" s="10">
        <v>180</v>
      </c>
      <c r="H3" s="152"/>
      <c r="I3" s="152"/>
    </row>
    <row r="4" spans="1:13" ht="63.75">
      <c r="A4" s="152">
        <v>3</v>
      </c>
      <c r="B4" s="21">
        <v>3000120101</v>
      </c>
      <c r="C4" s="10" t="s">
        <v>1746</v>
      </c>
      <c r="D4" s="121" t="s">
        <v>1750</v>
      </c>
      <c r="E4" s="121" t="s">
        <v>1754</v>
      </c>
      <c r="F4" s="203" t="s">
        <v>1243</v>
      </c>
      <c r="G4" s="10">
        <v>350</v>
      </c>
      <c r="H4" s="152"/>
      <c r="I4" s="152"/>
    </row>
    <row r="5" spans="1:13" ht="76.5">
      <c r="A5" s="152">
        <v>4</v>
      </c>
      <c r="B5" s="21">
        <v>3000120101</v>
      </c>
      <c r="C5" s="10" t="s">
        <v>1747</v>
      </c>
      <c r="D5" s="121" t="s">
        <v>1751</v>
      </c>
      <c r="E5" s="121" t="s">
        <v>1755</v>
      </c>
      <c r="F5" s="203" t="s">
        <v>1243</v>
      </c>
      <c r="G5" s="10">
        <v>2</v>
      </c>
      <c r="H5" s="152"/>
      <c r="I5" s="152"/>
    </row>
    <row r="6" spans="1:13">
      <c r="A6" s="21">
        <f t="shared" ref="A6:A8" si="0">ROW()-1</f>
        <v>5</v>
      </c>
      <c r="B6" s="21"/>
      <c r="C6" s="358" t="s">
        <v>76</v>
      </c>
      <c r="D6" s="358"/>
      <c r="E6" s="358"/>
      <c r="F6" s="358"/>
      <c r="G6" s="358"/>
      <c r="H6" s="358"/>
      <c r="I6" s="185">
        <f>+SUM(I2:I4)</f>
        <v>0</v>
      </c>
      <c r="J6" s="188"/>
      <c r="K6" s="188"/>
      <c r="L6" s="188"/>
      <c r="M6" s="188"/>
    </row>
    <row r="7" spans="1:13">
      <c r="A7" s="21">
        <f t="shared" si="0"/>
        <v>6</v>
      </c>
      <c r="B7" s="21"/>
      <c r="C7" s="358" t="s">
        <v>1637</v>
      </c>
      <c r="D7" s="358"/>
      <c r="E7" s="358"/>
      <c r="F7" s="358"/>
      <c r="G7" s="358"/>
      <c r="H7" s="358"/>
      <c r="I7" s="185">
        <f>I6*18%</f>
        <v>0</v>
      </c>
      <c r="K7" s="188"/>
      <c r="L7" s="188"/>
      <c r="M7" s="188"/>
    </row>
    <row r="8" spans="1:13">
      <c r="A8" s="21">
        <f t="shared" si="0"/>
        <v>7</v>
      </c>
      <c r="B8" s="21"/>
      <c r="C8" s="358" t="s">
        <v>742</v>
      </c>
      <c r="D8" s="358"/>
      <c r="E8" s="358"/>
      <c r="F8" s="358"/>
      <c r="G8" s="358"/>
      <c r="H8" s="358"/>
      <c r="I8" s="185">
        <f>SUM(I6:I7)</f>
        <v>0</v>
      </c>
      <c r="K8" s="188"/>
      <c r="L8" s="188"/>
      <c r="M8" s="188"/>
    </row>
    <row r="9" spans="1:13">
      <c r="A9" s="398"/>
      <c r="B9" s="399"/>
      <c r="C9" s="399"/>
      <c r="D9" s="399"/>
      <c r="E9" s="399"/>
      <c r="F9" s="399"/>
      <c r="G9" s="399"/>
      <c r="H9" s="399"/>
      <c r="I9" s="400"/>
    </row>
    <row r="10" spans="1:13" ht="140.25" customHeight="1">
      <c r="A10" s="128" t="s">
        <v>80</v>
      </c>
      <c r="B10" s="360" t="s">
        <v>1585</v>
      </c>
      <c r="C10" s="360"/>
      <c r="D10" s="360"/>
      <c r="E10" s="360"/>
      <c r="F10" s="360"/>
      <c r="G10" s="360"/>
      <c r="H10" s="360"/>
      <c r="I10" s="361"/>
    </row>
  </sheetData>
  <mergeCells count="5">
    <mergeCell ref="C6:H6"/>
    <mergeCell ref="C7:H7"/>
    <mergeCell ref="C8:H8"/>
    <mergeCell ref="A9:I9"/>
    <mergeCell ref="B10:I10"/>
  </mergeCells>
  <printOptions horizontalCentered="1"/>
  <pageMargins left="0.31496062992125984" right="0.31496062992125984" top="0.55118110236220474" bottom="0.55118110236220474" header="0.31496062992125984" footer="0.31496062992125984"/>
  <pageSetup orientation="landscape" horizontalDpi="4294967292" r:id="rId1"/>
  <headerFooter>
    <oddFooter>Page &amp;P of &amp;N</oddFooter>
  </headerFooter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M7"/>
  <sheetViews>
    <sheetView zoomScaleNormal="100" workbookViewId="0">
      <selection activeCell="N7" sqref="N7"/>
    </sheetView>
  </sheetViews>
  <sheetFormatPr defaultColWidth="9.140625" defaultRowHeight="12.75"/>
  <cols>
    <col min="1" max="1" width="5.85546875" style="119" bestFit="1" customWidth="1"/>
    <col min="2" max="2" width="15.85546875" style="119" customWidth="1"/>
    <col min="3" max="3" width="18.7109375" style="119" customWidth="1"/>
    <col min="4" max="4" width="22" style="119" customWidth="1"/>
    <col min="5" max="5" width="53.28515625" style="119" customWidth="1"/>
    <col min="6" max="6" width="8.85546875" style="119" customWidth="1"/>
    <col min="7" max="7" width="11.5703125" style="119" customWidth="1"/>
    <col min="8" max="8" width="17" style="119" customWidth="1"/>
    <col min="9" max="9" width="15.42578125" style="119" customWidth="1"/>
    <col min="10" max="10" width="11.42578125" style="119" bestFit="1" customWidth="1"/>
    <col min="11" max="11" width="12.5703125" style="119" bestFit="1" customWidth="1"/>
    <col min="12" max="12" width="13" style="119" customWidth="1"/>
    <col min="13" max="13" width="13.140625" style="119" customWidth="1"/>
    <col min="14" max="16384" width="9.140625" style="119"/>
  </cols>
  <sheetData>
    <row r="1" spans="1:13">
      <c r="A1" s="152" t="s">
        <v>0</v>
      </c>
      <c r="B1" s="152" t="s">
        <v>503</v>
      </c>
      <c r="C1" s="117" t="s">
        <v>1604</v>
      </c>
      <c r="D1" s="117" t="s">
        <v>778</v>
      </c>
      <c r="E1" s="173" t="s">
        <v>67</v>
      </c>
      <c r="F1" s="173" t="s">
        <v>3</v>
      </c>
      <c r="G1" s="117" t="s">
        <v>1582</v>
      </c>
      <c r="H1" s="152" t="s">
        <v>1583</v>
      </c>
      <c r="I1" s="152" t="s">
        <v>1584</v>
      </c>
      <c r="J1" s="119" t="s">
        <v>1250</v>
      </c>
      <c r="K1" s="119" t="s">
        <v>1697</v>
      </c>
    </row>
    <row r="2" spans="1:13" ht="102">
      <c r="A2" s="152">
        <v>1</v>
      </c>
      <c r="B2" s="21">
        <v>3000115275</v>
      </c>
      <c r="C2" s="10" t="s">
        <v>1756</v>
      </c>
      <c r="D2" s="121" t="s">
        <v>1757</v>
      </c>
      <c r="E2" s="121" t="s">
        <v>1758</v>
      </c>
      <c r="F2" s="203" t="s">
        <v>1581</v>
      </c>
      <c r="G2" s="10">
        <v>5</v>
      </c>
      <c r="H2" s="152"/>
      <c r="I2" s="152"/>
    </row>
    <row r="3" spans="1:13">
      <c r="A3" s="21">
        <f t="shared" ref="A3:A5" si="0">ROW()-1</f>
        <v>2</v>
      </c>
      <c r="B3" s="21"/>
      <c r="C3" s="358" t="s">
        <v>76</v>
      </c>
      <c r="D3" s="358"/>
      <c r="E3" s="358"/>
      <c r="F3" s="358"/>
      <c r="G3" s="358"/>
      <c r="H3" s="358"/>
      <c r="I3" s="185">
        <f>+SUM(I2:I2)</f>
        <v>0</v>
      </c>
      <c r="J3" s="188"/>
      <c r="K3" s="188"/>
      <c r="L3" s="188"/>
      <c r="M3" s="188"/>
    </row>
    <row r="4" spans="1:13">
      <c r="A4" s="21">
        <f t="shared" si="0"/>
        <v>3</v>
      </c>
      <c r="B4" s="21"/>
      <c r="C4" s="358" t="s">
        <v>1637</v>
      </c>
      <c r="D4" s="358"/>
      <c r="E4" s="358"/>
      <c r="F4" s="358"/>
      <c r="G4" s="358"/>
      <c r="H4" s="358"/>
      <c r="I4" s="185">
        <f>I3*18%</f>
        <v>0</v>
      </c>
      <c r="K4" s="188"/>
      <c r="L4" s="188"/>
      <c r="M4" s="188"/>
    </row>
    <row r="5" spans="1:13">
      <c r="A5" s="21">
        <f t="shared" si="0"/>
        <v>4</v>
      </c>
      <c r="B5" s="21"/>
      <c r="C5" s="358" t="s">
        <v>742</v>
      </c>
      <c r="D5" s="358"/>
      <c r="E5" s="358"/>
      <c r="F5" s="358"/>
      <c r="G5" s="358"/>
      <c r="H5" s="358"/>
      <c r="I5" s="185">
        <f>SUM(I3:I4)</f>
        <v>0</v>
      </c>
      <c r="K5" s="188"/>
      <c r="L5" s="188"/>
      <c r="M5" s="188"/>
    </row>
    <row r="6" spans="1:13">
      <c r="A6" s="398"/>
      <c r="B6" s="399"/>
      <c r="C6" s="399"/>
      <c r="D6" s="399"/>
      <c r="E6" s="399"/>
      <c r="F6" s="399"/>
      <c r="G6" s="399"/>
      <c r="H6" s="399"/>
      <c r="I6" s="400"/>
    </row>
    <row r="7" spans="1:13" ht="140.25" customHeight="1">
      <c r="A7" s="128" t="s">
        <v>80</v>
      </c>
      <c r="B7" s="360" t="s">
        <v>1585</v>
      </c>
      <c r="C7" s="360"/>
      <c r="D7" s="360"/>
      <c r="E7" s="360"/>
      <c r="F7" s="360"/>
      <c r="G7" s="360"/>
      <c r="H7" s="360"/>
      <c r="I7" s="361"/>
    </row>
  </sheetData>
  <mergeCells count="5">
    <mergeCell ref="C3:H3"/>
    <mergeCell ref="C4:H4"/>
    <mergeCell ref="C5:H5"/>
    <mergeCell ref="A6:I6"/>
    <mergeCell ref="B7:I7"/>
  </mergeCells>
  <printOptions horizontalCentered="1"/>
  <pageMargins left="0.31496062992125984" right="0.31496062992125984" top="0.55118110236220474" bottom="0.55118110236220474" header="0.31496062992125984" footer="0.31496062992125984"/>
  <pageSetup orientation="landscape" horizontalDpi="4294967292" r:id="rId1"/>
  <headerFooter>
    <oddFooter>Page &amp;P of &amp;N</oddFooter>
  </headerFooter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M8"/>
  <sheetViews>
    <sheetView zoomScaleNormal="100" workbookViewId="0">
      <selection activeCell="E1" sqref="E1:G3"/>
    </sheetView>
  </sheetViews>
  <sheetFormatPr defaultColWidth="9.140625" defaultRowHeight="12.75"/>
  <cols>
    <col min="1" max="1" width="5.85546875" style="119" bestFit="1" customWidth="1"/>
    <col min="2" max="2" width="15.85546875" style="119" customWidth="1"/>
    <col min="3" max="3" width="18.7109375" style="119" customWidth="1"/>
    <col min="4" max="4" width="22" style="119" customWidth="1"/>
    <col min="5" max="5" width="53.28515625" style="119" customWidth="1"/>
    <col min="6" max="6" width="8.85546875" style="119" customWidth="1"/>
    <col min="7" max="7" width="11.5703125" style="119" customWidth="1"/>
    <col min="8" max="8" width="17" style="119" customWidth="1"/>
    <col min="9" max="9" width="15.42578125" style="119" customWidth="1"/>
    <col min="10" max="10" width="11.42578125" style="119" bestFit="1" customWidth="1"/>
    <col min="11" max="11" width="12.5703125" style="119" bestFit="1" customWidth="1"/>
    <col min="12" max="12" width="13" style="119" customWidth="1"/>
    <col min="13" max="13" width="13.140625" style="119" customWidth="1"/>
    <col min="14" max="16384" width="9.140625" style="119"/>
  </cols>
  <sheetData>
    <row r="1" spans="1:13">
      <c r="A1" s="21" t="s">
        <v>0</v>
      </c>
      <c r="B1" s="21" t="s">
        <v>503</v>
      </c>
      <c r="C1" s="10" t="s">
        <v>1604</v>
      </c>
      <c r="D1" s="10" t="s">
        <v>778</v>
      </c>
      <c r="E1" s="173" t="s">
        <v>67</v>
      </c>
      <c r="F1" s="173" t="s">
        <v>3</v>
      </c>
      <c r="G1" s="117" t="s">
        <v>1582</v>
      </c>
      <c r="H1" s="21" t="s">
        <v>1583</v>
      </c>
      <c r="I1" s="21" t="s">
        <v>1584</v>
      </c>
      <c r="J1" s="119" t="s">
        <v>1250</v>
      </c>
      <c r="K1" s="119" t="s">
        <v>1697</v>
      </c>
    </row>
    <row r="2" spans="1:13" ht="63.75">
      <c r="A2" s="21">
        <v>1</v>
      </c>
      <c r="B2" s="21">
        <v>3000119589</v>
      </c>
      <c r="C2" s="10" t="s">
        <v>1759</v>
      </c>
      <c r="D2" s="121" t="s">
        <v>1760</v>
      </c>
      <c r="E2" s="121" t="s">
        <v>1761</v>
      </c>
      <c r="F2" s="203" t="s">
        <v>1182</v>
      </c>
      <c r="G2" s="10">
        <v>2</v>
      </c>
      <c r="H2" s="21"/>
      <c r="I2" s="21">
        <f>H2*G2</f>
        <v>0</v>
      </c>
    </row>
    <row r="3" spans="1:13" ht="38.25">
      <c r="A3" s="21">
        <v>2</v>
      </c>
      <c r="B3" s="21">
        <v>3000119589</v>
      </c>
      <c r="C3" s="10" t="s">
        <v>1762</v>
      </c>
      <c r="D3" s="121" t="s">
        <v>1763</v>
      </c>
      <c r="E3" s="121" t="s">
        <v>1764</v>
      </c>
      <c r="F3" s="203" t="s">
        <v>221</v>
      </c>
      <c r="G3" s="10">
        <v>1</v>
      </c>
      <c r="H3" s="21"/>
      <c r="I3" s="21">
        <f>H3*G3</f>
        <v>0</v>
      </c>
    </row>
    <row r="4" spans="1:13">
      <c r="A4" s="21">
        <f t="shared" ref="A4:A6" si="0">ROW()-1</f>
        <v>3</v>
      </c>
      <c r="B4" s="21"/>
      <c r="C4" s="417" t="s">
        <v>76</v>
      </c>
      <c r="D4" s="417"/>
      <c r="E4" s="417"/>
      <c r="F4" s="417"/>
      <c r="G4" s="417"/>
      <c r="H4" s="417"/>
      <c r="I4" s="185">
        <f>SUM(I2:I3)</f>
        <v>0</v>
      </c>
      <c r="J4" s="188"/>
      <c r="K4" s="188"/>
      <c r="L4" s="188"/>
      <c r="M4" s="188"/>
    </row>
    <row r="5" spans="1:13">
      <c r="A5" s="21">
        <f t="shared" si="0"/>
        <v>4</v>
      </c>
      <c r="B5" s="21"/>
      <c r="C5" s="417" t="s">
        <v>1637</v>
      </c>
      <c r="D5" s="417"/>
      <c r="E5" s="417"/>
      <c r="F5" s="417"/>
      <c r="G5" s="417"/>
      <c r="H5" s="417"/>
      <c r="I5" s="185">
        <f>I4*18%</f>
        <v>0</v>
      </c>
      <c r="K5" s="188"/>
      <c r="L5" s="188"/>
      <c r="M5" s="188"/>
    </row>
    <row r="6" spans="1:13">
      <c r="A6" s="21">
        <f t="shared" si="0"/>
        <v>5</v>
      </c>
      <c r="B6" s="21"/>
      <c r="C6" s="417" t="s">
        <v>742</v>
      </c>
      <c r="D6" s="417"/>
      <c r="E6" s="417"/>
      <c r="F6" s="417"/>
      <c r="G6" s="417"/>
      <c r="H6" s="417"/>
      <c r="I6" s="185">
        <f>SUM(I4:I5)</f>
        <v>0</v>
      </c>
      <c r="K6" s="188"/>
      <c r="L6" s="188"/>
      <c r="M6" s="188"/>
    </row>
    <row r="7" spans="1:13">
      <c r="A7" s="418"/>
      <c r="B7" s="419"/>
      <c r="C7" s="419"/>
      <c r="D7" s="419"/>
      <c r="E7" s="419"/>
      <c r="F7" s="419"/>
      <c r="G7" s="419"/>
      <c r="H7" s="419"/>
      <c r="I7" s="420"/>
    </row>
    <row r="8" spans="1:13" ht="140.25" customHeight="1">
      <c r="A8" s="128" t="s">
        <v>80</v>
      </c>
      <c r="B8" s="360" t="s">
        <v>1765</v>
      </c>
      <c r="C8" s="360"/>
      <c r="D8" s="360"/>
      <c r="E8" s="360"/>
      <c r="F8" s="360"/>
      <c r="G8" s="360"/>
      <c r="H8" s="360"/>
      <c r="I8" s="361"/>
    </row>
  </sheetData>
  <mergeCells count="5">
    <mergeCell ref="C4:H4"/>
    <mergeCell ref="C5:H5"/>
    <mergeCell ref="C6:H6"/>
    <mergeCell ref="A7:I7"/>
    <mergeCell ref="B8:I8"/>
  </mergeCells>
  <printOptions horizontalCentered="1"/>
  <pageMargins left="0.31496062992125984" right="0.31496062992125984" top="0.55118110236220474" bottom="0.55118110236220474" header="0.31496062992125984" footer="0.31496062992125984"/>
  <pageSetup orientation="landscape" horizontalDpi="4294967292" r:id="rId1"/>
  <headerFooter>
    <oddFooter>Page &amp;P of &amp;N</oddFooter>
  </headerFooter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M11"/>
  <sheetViews>
    <sheetView zoomScaleNormal="100" workbookViewId="0"/>
  </sheetViews>
  <sheetFormatPr defaultColWidth="9.140625" defaultRowHeight="12.75"/>
  <cols>
    <col min="1" max="1" width="5.85546875" style="119" bestFit="1" customWidth="1"/>
    <col min="2" max="2" width="15.85546875" style="119" customWidth="1"/>
    <col min="3" max="3" width="18.7109375" style="119" customWidth="1"/>
    <col min="4" max="4" width="22" style="119" customWidth="1"/>
    <col min="5" max="5" width="53.28515625" style="119" customWidth="1"/>
    <col min="6" max="6" width="8.85546875" style="119" customWidth="1"/>
    <col min="7" max="7" width="11.5703125" style="119" customWidth="1"/>
    <col min="8" max="8" width="17" style="119" customWidth="1"/>
    <col min="9" max="9" width="15.42578125" style="119" customWidth="1"/>
    <col min="10" max="10" width="11.42578125" style="119" bestFit="1" customWidth="1"/>
    <col min="11" max="11" width="12.5703125" style="119" bestFit="1" customWidth="1"/>
    <col min="12" max="12" width="13" style="119" customWidth="1"/>
    <col min="13" max="13" width="13.140625" style="119" customWidth="1"/>
    <col min="14" max="16384" width="9.140625" style="119"/>
  </cols>
  <sheetData>
    <row r="1" spans="1:13">
      <c r="A1" s="21" t="s">
        <v>0</v>
      </c>
      <c r="B1" s="21" t="s">
        <v>503</v>
      </c>
      <c r="C1" s="10" t="s">
        <v>1604</v>
      </c>
      <c r="D1" s="10" t="s">
        <v>778</v>
      </c>
      <c r="E1" s="173" t="s">
        <v>67</v>
      </c>
      <c r="F1" s="173" t="s">
        <v>3</v>
      </c>
      <c r="G1" s="117" t="s">
        <v>1582</v>
      </c>
      <c r="H1" s="21" t="s">
        <v>1583</v>
      </c>
      <c r="I1" s="21" t="s">
        <v>1584</v>
      </c>
      <c r="J1" s="119" t="s">
        <v>1250</v>
      </c>
      <c r="K1" s="119" t="s">
        <v>1697</v>
      </c>
    </row>
    <row r="2" spans="1:13" ht="153">
      <c r="A2" s="21">
        <v>1</v>
      </c>
      <c r="B2" s="21">
        <v>3000119931</v>
      </c>
      <c r="C2" s="10" t="s">
        <v>1766</v>
      </c>
      <c r="D2" s="10" t="s">
        <v>1767</v>
      </c>
      <c r="E2" s="121" t="s">
        <v>1768</v>
      </c>
      <c r="F2" s="203" t="s">
        <v>121</v>
      </c>
      <c r="G2" s="10">
        <v>1</v>
      </c>
      <c r="H2" s="21"/>
      <c r="I2" s="21"/>
    </row>
    <row r="3" spans="1:13" ht="153">
      <c r="A3" s="21">
        <v>2</v>
      </c>
      <c r="B3" s="21">
        <v>3000119931</v>
      </c>
      <c r="C3" s="10" t="s">
        <v>1769</v>
      </c>
      <c r="D3" s="10" t="s">
        <v>1770</v>
      </c>
      <c r="E3" s="121" t="s">
        <v>1779</v>
      </c>
      <c r="F3" s="203" t="s">
        <v>121</v>
      </c>
      <c r="G3" s="10">
        <v>1</v>
      </c>
      <c r="H3" s="21"/>
      <c r="I3" s="21"/>
    </row>
    <row r="4" spans="1:13" ht="127.5">
      <c r="A4" s="21">
        <v>3</v>
      </c>
      <c r="B4" s="21">
        <v>3000119931</v>
      </c>
      <c r="C4" s="10" t="s">
        <v>1771</v>
      </c>
      <c r="D4" s="10" t="s">
        <v>1772</v>
      </c>
      <c r="E4" s="121" t="s">
        <v>1773</v>
      </c>
      <c r="F4" s="203" t="s">
        <v>121</v>
      </c>
      <c r="G4" s="10">
        <v>1</v>
      </c>
      <c r="H4" s="21"/>
      <c r="I4" s="21"/>
    </row>
    <row r="5" spans="1:13" ht="127.5">
      <c r="A5" s="21">
        <v>4</v>
      </c>
      <c r="B5" s="21">
        <v>3000119931</v>
      </c>
      <c r="C5" s="10" t="s">
        <v>1774</v>
      </c>
      <c r="D5" s="10" t="s">
        <v>1775</v>
      </c>
      <c r="E5" s="121" t="s">
        <v>1776</v>
      </c>
      <c r="F5" s="203" t="s">
        <v>121</v>
      </c>
      <c r="G5" s="10">
        <v>3</v>
      </c>
      <c r="H5" s="21"/>
      <c r="I5" s="21"/>
    </row>
    <row r="6" spans="1:13" ht="127.5">
      <c r="A6" s="21">
        <v>5</v>
      </c>
      <c r="B6" s="21">
        <v>3000119931</v>
      </c>
      <c r="C6" s="10" t="s">
        <v>1777</v>
      </c>
      <c r="D6" s="121" t="s">
        <v>1775</v>
      </c>
      <c r="E6" s="121" t="s">
        <v>1778</v>
      </c>
      <c r="F6" s="203" t="s">
        <v>121</v>
      </c>
      <c r="G6" s="10">
        <v>1</v>
      </c>
      <c r="H6" s="21"/>
      <c r="I6" s="21"/>
    </row>
    <row r="7" spans="1:13">
      <c r="A7" s="21">
        <f t="shared" ref="A7:A9" si="0">ROW()-1</f>
        <v>6</v>
      </c>
      <c r="B7" s="21"/>
      <c r="C7" s="417" t="s">
        <v>76</v>
      </c>
      <c r="D7" s="417"/>
      <c r="E7" s="417"/>
      <c r="F7" s="417"/>
      <c r="G7" s="417"/>
      <c r="H7" s="417"/>
      <c r="I7" s="185">
        <f>+SUM(I6:I6)</f>
        <v>0</v>
      </c>
      <c r="J7" s="188"/>
      <c r="K7" s="188"/>
      <c r="L7" s="188"/>
      <c r="M7" s="188"/>
    </row>
    <row r="8" spans="1:13">
      <c r="A8" s="21">
        <f t="shared" si="0"/>
        <v>7</v>
      </c>
      <c r="B8" s="21"/>
      <c r="C8" s="417" t="s">
        <v>1637</v>
      </c>
      <c r="D8" s="417"/>
      <c r="E8" s="417"/>
      <c r="F8" s="417"/>
      <c r="G8" s="417"/>
      <c r="H8" s="417"/>
      <c r="I8" s="185">
        <f>I7*18%</f>
        <v>0</v>
      </c>
      <c r="K8" s="188"/>
      <c r="L8" s="188"/>
      <c r="M8" s="188"/>
    </row>
    <row r="9" spans="1:13">
      <c r="A9" s="21">
        <f t="shared" si="0"/>
        <v>8</v>
      </c>
      <c r="B9" s="21"/>
      <c r="C9" s="417" t="s">
        <v>742</v>
      </c>
      <c r="D9" s="417"/>
      <c r="E9" s="417"/>
      <c r="F9" s="417"/>
      <c r="G9" s="417"/>
      <c r="H9" s="417"/>
      <c r="I9" s="185">
        <f>SUM(I7:I8)</f>
        <v>0</v>
      </c>
      <c r="K9" s="188"/>
      <c r="L9" s="188"/>
      <c r="M9" s="188"/>
    </row>
    <row r="10" spans="1:13">
      <c r="A10" s="418"/>
      <c r="B10" s="419"/>
      <c r="C10" s="419"/>
      <c r="D10" s="419"/>
      <c r="E10" s="419"/>
      <c r="F10" s="419"/>
      <c r="G10" s="419"/>
      <c r="H10" s="419"/>
      <c r="I10" s="420"/>
    </row>
    <row r="11" spans="1:13" ht="140.25" customHeight="1">
      <c r="A11" s="128" t="s">
        <v>80</v>
      </c>
      <c r="B11" s="360" t="s">
        <v>1765</v>
      </c>
      <c r="C11" s="360"/>
      <c r="D11" s="360"/>
      <c r="E11" s="360"/>
      <c r="F11" s="360"/>
      <c r="G11" s="360"/>
      <c r="H11" s="360"/>
      <c r="I11" s="361"/>
    </row>
  </sheetData>
  <mergeCells count="5">
    <mergeCell ref="C7:H7"/>
    <mergeCell ref="C8:H8"/>
    <mergeCell ref="C9:H9"/>
    <mergeCell ref="A10:I10"/>
    <mergeCell ref="B11:I11"/>
  </mergeCells>
  <printOptions horizontalCentered="1"/>
  <pageMargins left="0.31496062992125984" right="0.31496062992125984" top="0.55118110236220474" bottom="0.55118110236220474" header="0.31496062992125984" footer="0.31496062992125984"/>
  <pageSetup orientation="landscape" horizontalDpi="4294967292" r:id="rId1"/>
  <headerFooter>
    <oddFooter>Page &amp;P of &amp;N</oddFooter>
  </headerFooter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M10"/>
  <sheetViews>
    <sheetView zoomScaleNormal="100" workbookViewId="0">
      <selection activeCell="B2" sqref="B2"/>
    </sheetView>
  </sheetViews>
  <sheetFormatPr defaultColWidth="9.140625" defaultRowHeight="12.75"/>
  <cols>
    <col min="1" max="1" width="5.85546875" style="119" bestFit="1" customWidth="1"/>
    <col min="2" max="2" width="15.85546875" style="119" customWidth="1"/>
    <col min="3" max="3" width="18.7109375" style="119" customWidth="1"/>
    <col min="4" max="4" width="22" style="119" customWidth="1"/>
    <col min="5" max="5" width="26.140625" style="119" bestFit="1" customWidth="1"/>
    <col min="6" max="6" width="8.85546875" style="119" customWidth="1"/>
    <col min="7" max="7" width="11.5703125" style="119" customWidth="1"/>
    <col min="8" max="8" width="17" style="119" customWidth="1"/>
    <col min="9" max="9" width="15.42578125" style="119" customWidth="1"/>
    <col min="10" max="10" width="11.42578125" style="119" bestFit="1" customWidth="1"/>
    <col min="11" max="11" width="12.5703125" style="119" bestFit="1" customWidth="1"/>
    <col min="12" max="12" width="13" style="119" customWidth="1"/>
    <col min="13" max="13" width="13.140625" style="119" customWidth="1"/>
    <col min="14" max="16384" width="9.140625" style="119"/>
  </cols>
  <sheetData>
    <row r="1" spans="1:13">
      <c r="A1" s="21" t="s">
        <v>0</v>
      </c>
      <c r="B1" s="21" t="s">
        <v>503</v>
      </c>
      <c r="C1" s="10" t="s">
        <v>1604</v>
      </c>
      <c r="D1" s="10" t="s">
        <v>778</v>
      </c>
      <c r="E1" s="173" t="s">
        <v>67</v>
      </c>
      <c r="F1" s="173" t="s">
        <v>3</v>
      </c>
      <c r="G1" s="117" t="s">
        <v>1582</v>
      </c>
      <c r="H1" s="21" t="s">
        <v>1583</v>
      </c>
      <c r="I1" s="21" t="s">
        <v>1584</v>
      </c>
      <c r="J1" s="119" t="s">
        <v>1250</v>
      </c>
      <c r="K1" s="119" t="s">
        <v>145</v>
      </c>
      <c r="L1" s="119" t="s">
        <v>2089</v>
      </c>
    </row>
    <row r="2" spans="1:13" ht="63.75">
      <c r="A2" s="21">
        <v>1</v>
      </c>
      <c r="B2" s="21">
        <v>3000118612</v>
      </c>
      <c r="C2" s="10" t="s">
        <v>1780</v>
      </c>
      <c r="D2" s="10" t="s">
        <v>1781</v>
      </c>
      <c r="E2" s="121" t="s">
        <v>1782</v>
      </c>
      <c r="F2" s="203" t="s">
        <v>221</v>
      </c>
      <c r="G2" s="10">
        <v>8</v>
      </c>
      <c r="H2" s="204">
        <f>J2</f>
        <v>82117.5</v>
      </c>
      <c r="I2" s="204">
        <f>H2*G2</f>
        <v>656940</v>
      </c>
      <c r="J2" s="187">
        <v>82117.5</v>
      </c>
      <c r="K2" s="187">
        <v>720</v>
      </c>
      <c r="L2" s="188">
        <v>656940</v>
      </c>
    </row>
    <row r="3" spans="1:13">
      <c r="A3" s="21">
        <f t="shared" ref="A3:A5" si="0">ROW()-1</f>
        <v>2</v>
      </c>
      <c r="B3" s="21"/>
      <c r="C3" s="417" t="s">
        <v>76</v>
      </c>
      <c r="D3" s="417"/>
      <c r="E3" s="417"/>
      <c r="F3" s="417"/>
      <c r="G3" s="417"/>
      <c r="H3" s="417"/>
      <c r="I3" s="185">
        <f>SUM(I2)</f>
        <v>656940</v>
      </c>
      <c r="J3" s="188"/>
      <c r="K3" s="188"/>
      <c r="L3" s="188">
        <f>L2/8</f>
        <v>82117.5</v>
      </c>
      <c r="M3" s="188"/>
    </row>
    <row r="4" spans="1:13">
      <c r="A4" s="21">
        <f t="shared" si="0"/>
        <v>3</v>
      </c>
      <c r="B4" s="21"/>
      <c r="C4" s="417" t="s">
        <v>1637</v>
      </c>
      <c r="D4" s="417"/>
      <c r="E4" s="417"/>
      <c r="F4" s="417"/>
      <c r="G4" s="417"/>
      <c r="H4" s="417"/>
      <c r="I4" s="185">
        <f>I3*18%</f>
        <v>118249.2</v>
      </c>
      <c r="K4" s="188"/>
      <c r="L4" s="188"/>
      <c r="M4" s="188"/>
    </row>
    <row r="5" spans="1:13">
      <c r="A5" s="21">
        <f t="shared" si="0"/>
        <v>4</v>
      </c>
      <c r="B5" s="21"/>
      <c r="C5" s="417" t="s">
        <v>742</v>
      </c>
      <c r="D5" s="417"/>
      <c r="E5" s="417"/>
      <c r="F5" s="417"/>
      <c r="G5" s="417"/>
      <c r="H5" s="417"/>
      <c r="I5" s="185">
        <f>SUM(I3:I4)</f>
        <v>775189.2</v>
      </c>
      <c r="K5" s="188"/>
      <c r="L5" s="188"/>
      <c r="M5" s="188"/>
    </row>
    <row r="6" spans="1:13">
      <c r="A6" s="418"/>
      <c r="B6" s="419"/>
      <c r="C6" s="419"/>
      <c r="D6" s="419"/>
      <c r="E6" s="419"/>
      <c r="F6" s="419"/>
      <c r="G6" s="419"/>
      <c r="H6" s="419"/>
      <c r="I6" s="420"/>
    </row>
    <row r="7" spans="1:13" ht="140.25" customHeight="1">
      <c r="A7" s="128" t="s">
        <v>80</v>
      </c>
      <c r="B7" s="360" t="s">
        <v>1765</v>
      </c>
      <c r="C7" s="360"/>
      <c r="D7" s="360"/>
      <c r="E7" s="360"/>
      <c r="F7" s="360"/>
      <c r="G7" s="360"/>
      <c r="H7" s="360"/>
      <c r="I7" s="361"/>
    </row>
    <row r="10" spans="1:13" ht="15">
      <c r="B10"/>
    </row>
  </sheetData>
  <mergeCells count="5">
    <mergeCell ref="C3:H3"/>
    <mergeCell ref="C4:H4"/>
    <mergeCell ref="C5:H5"/>
    <mergeCell ref="A6:I6"/>
    <mergeCell ref="B7:I7"/>
  </mergeCells>
  <printOptions horizontalCentered="1"/>
  <pageMargins left="0.31496062992125984" right="0.31496062992125984" top="0.55118110236220474" bottom="0.55118110236220474" header="0.31496062992125984" footer="0.31496062992125984"/>
  <pageSetup orientation="landscape" horizontalDpi="4294967292" r:id="rId1"/>
  <headerFooter>
    <oddFooter>Page &amp;P of &amp;N</oddFooter>
  </headerFooter>
  <drawing r:id="rId2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M7"/>
  <sheetViews>
    <sheetView zoomScaleNormal="100" workbookViewId="0">
      <selection activeCell="A2" sqref="A2"/>
    </sheetView>
  </sheetViews>
  <sheetFormatPr defaultColWidth="9.140625" defaultRowHeight="12.75"/>
  <cols>
    <col min="1" max="1" width="5.85546875" style="119" bestFit="1" customWidth="1"/>
    <col min="2" max="2" width="15.85546875" style="119" customWidth="1"/>
    <col min="3" max="3" width="18.7109375" style="119" customWidth="1"/>
    <col min="4" max="4" width="22" style="119" customWidth="1"/>
    <col min="5" max="5" width="48.7109375" style="119" customWidth="1"/>
    <col min="6" max="6" width="8.85546875" style="119" customWidth="1"/>
    <col min="7" max="7" width="11.5703125" style="119" customWidth="1"/>
    <col min="8" max="8" width="17" style="119" customWidth="1"/>
    <col min="9" max="9" width="15.42578125" style="119" customWidth="1"/>
    <col min="10" max="10" width="11.42578125" style="119" bestFit="1" customWidth="1"/>
    <col min="11" max="11" width="13.7109375" style="119" bestFit="1" customWidth="1"/>
    <col min="12" max="12" width="59" style="119" customWidth="1"/>
    <col min="13" max="13" width="13.7109375" style="119" bestFit="1" customWidth="1"/>
    <col min="14" max="16384" width="9.140625" style="119"/>
  </cols>
  <sheetData>
    <row r="1" spans="1:13">
      <c r="A1" s="21" t="s">
        <v>0</v>
      </c>
      <c r="B1" s="21" t="s">
        <v>503</v>
      </c>
      <c r="C1" s="10" t="s">
        <v>1604</v>
      </c>
      <c r="D1" s="10" t="s">
        <v>778</v>
      </c>
      <c r="E1" s="173" t="s">
        <v>67</v>
      </c>
      <c r="F1" s="173" t="s">
        <v>3</v>
      </c>
      <c r="G1" s="117" t="s">
        <v>1582</v>
      </c>
      <c r="H1" s="21" t="s">
        <v>1583</v>
      </c>
      <c r="I1" s="21" t="s">
        <v>1584</v>
      </c>
      <c r="J1" s="119" t="s">
        <v>1250</v>
      </c>
      <c r="K1" s="119" t="s">
        <v>1959</v>
      </c>
      <c r="M1" s="119" t="s">
        <v>1953</v>
      </c>
    </row>
    <row r="2" spans="1:13" ht="102">
      <c r="A2" s="21">
        <v>1</v>
      </c>
      <c r="B2" s="21">
        <v>5000006763</v>
      </c>
      <c r="C2" s="10" t="s">
        <v>1783</v>
      </c>
      <c r="D2" s="10" t="s">
        <v>1784</v>
      </c>
      <c r="E2" s="121" t="s">
        <v>1785</v>
      </c>
      <c r="F2" s="203" t="s">
        <v>1786</v>
      </c>
      <c r="G2" s="10">
        <v>1</v>
      </c>
      <c r="H2" s="204">
        <f>90*1.3*J2</f>
        <v>0</v>
      </c>
      <c r="I2" s="204">
        <f>H2*G2</f>
        <v>0</v>
      </c>
      <c r="J2" s="187"/>
      <c r="K2" s="188">
        <v>2910500</v>
      </c>
      <c r="L2" s="234" t="s">
        <v>1958</v>
      </c>
      <c r="M2" s="119">
        <v>9118.41</v>
      </c>
    </row>
    <row r="3" spans="1:13">
      <c r="A3" s="21">
        <f t="shared" ref="A3:A5" si="0">ROW()-1</f>
        <v>2</v>
      </c>
      <c r="B3" s="21"/>
      <c r="C3" s="417" t="s">
        <v>76</v>
      </c>
      <c r="D3" s="417"/>
      <c r="E3" s="417"/>
      <c r="F3" s="417"/>
      <c r="G3" s="417"/>
      <c r="H3" s="417"/>
      <c r="I3" s="185">
        <f>SUM(I2)</f>
        <v>0</v>
      </c>
      <c r="J3" s="188"/>
      <c r="K3" s="188"/>
      <c r="L3" s="188"/>
      <c r="M3" s="188">
        <f>M2*90*1.3</f>
        <v>1066853.97</v>
      </c>
    </row>
    <row r="4" spans="1:13">
      <c r="A4" s="21">
        <f t="shared" si="0"/>
        <v>3</v>
      </c>
      <c r="B4" s="21"/>
      <c r="C4" s="417" t="s">
        <v>1637</v>
      </c>
      <c r="D4" s="417"/>
      <c r="E4" s="417"/>
      <c r="F4" s="417"/>
      <c r="G4" s="417"/>
      <c r="H4" s="417"/>
      <c r="I4" s="185">
        <f>I3*18%</f>
        <v>0</v>
      </c>
      <c r="K4" s="188"/>
      <c r="L4" s="188"/>
      <c r="M4" s="188"/>
    </row>
    <row r="5" spans="1:13">
      <c r="A5" s="21">
        <f t="shared" si="0"/>
        <v>4</v>
      </c>
      <c r="B5" s="21"/>
      <c r="C5" s="417" t="s">
        <v>742</v>
      </c>
      <c r="D5" s="417"/>
      <c r="E5" s="417"/>
      <c r="F5" s="417"/>
      <c r="G5" s="417"/>
      <c r="H5" s="417"/>
      <c r="I5" s="185">
        <f>SUM(I3:I4)</f>
        <v>0</v>
      </c>
      <c r="K5" s="188"/>
      <c r="L5" s="188"/>
      <c r="M5" s="188"/>
    </row>
    <row r="6" spans="1:13">
      <c r="A6" s="418"/>
      <c r="B6" s="419"/>
      <c r="C6" s="419"/>
      <c r="D6" s="419"/>
      <c r="E6" s="419"/>
      <c r="F6" s="419"/>
      <c r="G6" s="419"/>
      <c r="H6" s="419"/>
      <c r="I6" s="420"/>
    </row>
    <row r="7" spans="1:13" ht="140.25" customHeight="1">
      <c r="A7" s="128" t="s">
        <v>80</v>
      </c>
      <c r="B7" s="360" t="s">
        <v>1765</v>
      </c>
      <c r="C7" s="360"/>
      <c r="D7" s="360"/>
      <c r="E7" s="360"/>
      <c r="F7" s="360"/>
      <c r="G7" s="360"/>
      <c r="H7" s="360"/>
      <c r="I7" s="361"/>
    </row>
  </sheetData>
  <mergeCells count="5">
    <mergeCell ref="C3:H3"/>
    <mergeCell ref="C4:H4"/>
    <mergeCell ref="C5:H5"/>
    <mergeCell ref="A6:I6"/>
    <mergeCell ref="B7:I7"/>
  </mergeCells>
  <printOptions horizontalCentered="1"/>
  <pageMargins left="0.31496062992125984" right="0.31496062992125984" top="0.55118110236220474" bottom="0.55118110236220474" header="0.31496062992125984" footer="0.31496062992125984"/>
  <pageSetup orientation="landscape" horizontalDpi="4294967292" r:id="rId1"/>
  <headerFooter>
    <oddFooter>Page &amp;P of &amp;N</oddFooter>
  </headerFooter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M8"/>
  <sheetViews>
    <sheetView zoomScaleNormal="100" workbookViewId="0">
      <selection activeCell="J7" sqref="J7"/>
    </sheetView>
  </sheetViews>
  <sheetFormatPr defaultColWidth="9.140625" defaultRowHeight="12.75"/>
  <cols>
    <col min="1" max="1" width="5.85546875" style="119" bestFit="1" customWidth="1"/>
    <col min="2" max="2" width="15.85546875" style="119" customWidth="1"/>
    <col min="3" max="3" width="18.7109375" style="119" customWidth="1"/>
    <col min="4" max="4" width="22" style="119" customWidth="1"/>
    <col min="5" max="5" width="42.85546875" style="119" customWidth="1"/>
    <col min="6" max="6" width="8.85546875" style="119" customWidth="1"/>
    <col min="7" max="7" width="11.5703125" style="119" customWidth="1"/>
    <col min="8" max="8" width="17" style="119" customWidth="1"/>
    <col min="9" max="9" width="15.42578125" style="119" customWidth="1"/>
    <col min="10" max="10" width="11.42578125" style="119" bestFit="1" customWidth="1"/>
    <col min="11" max="11" width="12.5703125" style="119" bestFit="1" customWidth="1"/>
    <col min="12" max="12" width="13" style="119" customWidth="1"/>
    <col min="13" max="13" width="13.140625" style="119" customWidth="1"/>
    <col min="14" max="16384" width="9.140625" style="119"/>
  </cols>
  <sheetData>
    <row r="1" spans="1:13">
      <c r="A1" s="21" t="s">
        <v>0</v>
      </c>
      <c r="B1" s="21" t="s">
        <v>503</v>
      </c>
      <c r="C1" s="10" t="s">
        <v>1604</v>
      </c>
      <c r="D1" s="10" t="s">
        <v>778</v>
      </c>
      <c r="E1" s="173" t="s">
        <v>67</v>
      </c>
      <c r="F1" s="173" t="s">
        <v>3</v>
      </c>
      <c r="G1" s="117" t="s">
        <v>1582</v>
      </c>
      <c r="H1" s="21" t="s">
        <v>1583</v>
      </c>
      <c r="I1" s="21" t="s">
        <v>1584</v>
      </c>
      <c r="J1" s="119" t="s">
        <v>1250</v>
      </c>
      <c r="K1" s="119" t="s">
        <v>145</v>
      </c>
    </row>
    <row r="2" spans="1:13" ht="63.75">
      <c r="A2" s="21">
        <v>1</v>
      </c>
      <c r="B2" s="21">
        <v>5000006383</v>
      </c>
      <c r="C2" s="10" t="s">
        <v>1787</v>
      </c>
      <c r="D2" s="10" t="s">
        <v>1788</v>
      </c>
      <c r="E2" s="121" t="s">
        <v>1789</v>
      </c>
      <c r="F2" s="203" t="s">
        <v>121</v>
      </c>
      <c r="G2" s="10">
        <v>2</v>
      </c>
      <c r="H2" s="21"/>
      <c r="I2" s="21"/>
    </row>
    <row r="3" spans="1:13" ht="51">
      <c r="A3" s="21">
        <v>2</v>
      </c>
      <c r="B3" s="21">
        <v>5000006383</v>
      </c>
      <c r="C3" s="10" t="s">
        <v>1790</v>
      </c>
      <c r="D3" s="10" t="s">
        <v>1791</v>
      </c>
      <c r="E3" s="121" t="s">
        <v>1792</v>
      </c>
      <c r="F3" s="203" t="s">
        <v>121</v>
      </c>
      <c r="G3" s="10">
        <v>2</v>
      </c>
      <c r="H3" s="204">
        <f>90*1.3*J3</f>
        <v>0</v>
      </c>
      <c r="I3" s="204">
        <f>H3*G3</f>
        <v>0</v>
      </c>
      <c r="J3" s="187"/>
      <c r="K3" s="187"/>
    </row>
    <row r="4" spans="1:13">
      <c r="A4" s="21">
        <f t="shared" ref="A4:A6" si="0">ROW()-1</f>
        <v>3</v>
      </c>
      <c r="B4" s="21"/>
      <c r="C4" s="417" t="s">
        <v>76</v>
      </c>
      <c r="D4" s="417"/>
      <c r="E4" s="417"/>
      <c r="F4" s="417"/>
      <c r="G4" s="417"/>
      <c r="H4" s="417"/>
      <c r="I4" s="185">
        <f>SUM(I3)</f>
        <v>0</v>
      </c>
      <c r="J4" s="188"/>
      <c r="K4" s="188"/>
      <c r="L4" s="188"/>
      <c r="M4" s="188"/>
    </row>
    <row r="5" spans="1:13">
      <c r="A5" s="21">
        <f t="shared" si="0"/>
        <v>4</v>
      </c>
      <c r="B5" s="21"/>
      <c r="C5" s="417" t="s">
        <v>1637</v>
      </c>
      <c r="D5" s="417"/>
      <c r="E5" s="417"/>
      <c r="F5" s="417"/>
      <c r="G5" s="417"/>
      <c r="H5" s="417"/>
      <c r="I5" s="185">
        <f>I4*18%</f>
        <v>0</v>
      </c>
      <c r="K5" s="188"/>
      <c r="L5" s="188"/>
      <c r="M5" s="188"/>
    </row>
    <row r="6" spans="1:13">
      <c r="A6" s="21">
        <f t="shared" si="0"/>
        <v>5</v>
      </c>
      <c r="B6" s="21"/>
      <c r="C6" s="417" t="s">
        <v>742</v>
      </c>
      <c r="D6" s="417"/>
      <c r="E6" s="417"/>
      <c r="F6" s="417"/>
      <c r="G6" s="417"/>
      <c r="H6" s="417"/>
      <c r="I6" s="185">
        <f>SUM(I4:I5)</f>
        <v>0</v>
      </c>
      <c r="K6" s="188"/>
      <c r="L6" s="188"/>
      <c r="M6" s="188"/>
    </row>
    <row r="7" spans="1:13">
      <c r="A7" s="418"/>
      <c r="B7" s="419"/>
      <c r="C7" s="419"/>
      <c r="D7" s="419"/>
      <c r="E7" s="419"/>
      <c r="F7" s="419"/>
      <c r="G7" s="419"/>
      <c r="H7" s="419"/>
      <c r="I7" s="420"/>
    </row>
    <row r="8" spans="1:13" ht="140.25" customHeight="1">
      <c r="A8" s="128" t="s">
        <v>80</v>
      </c>
      <c r="B8" s="360" t="s">
        <v>1765</v>
      </c>
      <c r="C8" s="360"/>
      <c r="D8" s="360"/>
      <c r="E8" s="360"/>
      <c r="F8" s="360"/>
      <c r="G8" s="360"/>
      <c r="H8" s="360"/>
      <c r="I8" s="361"/>
    </row>
  </sheetData>
  <mergeCells count="5">
    <mergeCell ref="C4:H4"/>
    <mergeCell ref="C5:H5"/>
    <mergeCell ref="C6:H6"/>
    <mergeCell ref="A7:I7"/>
    <mergeCell ref="B8:I8"/>
  </mergeCells>
  <printOptions horizontalCentered="1"/>
  <pageMargins left="0.31496062992125984" right="0.31496062992125984" top="0.55118110236220474" bottom="0.55118110236220474" header="0.31496062992125984" footer="0.31496062992125984"/>
  <pageSetup orientation="landscape" horizontalDpi="4294967292" r:id="rId1"/>
  <headerFooter>
    <oddFooter>Page &amp;P of &amp;N</oddFooter>
  </headerFooter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M7"/>
  <sheetViews>
    <sheetView zoomScaleNormal="100" workbookViewId="0">
      <selection activeCell="J4" sqref="J4"/>
    </sheetView>
  </sheetViews>
  <sheetFormatPr defaultColWidth="9.140625" defaultRowHeight="12.75"/>
  <cols>
    <col min="1" max="1" width="5.85546875" style="119" bestFit="1" customWidth="1"/>
    <col min="2" max="2" width="15.85546875" style="119" customWidth="1"/>
    <col min="3" max="3" width="18.7109375" style="119" customWidth="1"/>
    <col min="4" max="4" width="22" style="119" customWidth="1"/>
    <col min="5" max="5" width="42.85546875" style="119" customWidth="1"/>
    <col min="6" max="6" width="8.85546875" style="119" customWidth="1"/>
    <col min="7" max="7" width="11.5703125" style="119" customWidth="1"/>
    <col min="8" max="8" width="17" style="119" customWidth="1"/>
    <col min="9" max="9" width="15.42578125" style="119" customWidth="1"/>
    <col min="10" max="10" width="11.42578125" style="119" bestFit="1" customWidth="1"/>
    <col min="11" max="11" width="12.5703125" style="119" bestFit="1" customWidth="1"/>
    <col min="12" max="12" width="13" style="119" customWidth="1"/>
    <col min="13" max="13" width="13.140625" style="119" customWidth="1"/>
    <col min="14" max="16384" width="9.140625" style="119"/>
  </cols>
  <sheetData>
    <row r="1" spans="1:13">
      <c r="A1" s="21" t="s">
        <v>0</v>
      </c>
      <c r="B1" s="21" t="s">
        <v>503</v>
      </c>
      <c r="C1" s="10" t="s">
        <v>1604</v>
      </c>
      <c r="D1" s="10" t="s">
        <v>778</v>
      </c>
      <c r="E1" s="173" t="s">
        <v>67</v>
      </c>
      <c r="F1" s="173" t="s">
        <v>3</v>
      </c>
      <c r="G1" s="117" t="s">
        <v>1582</v>
      </c>
      <c r="H1" s="21" t="s">
        <v>1583</v>
      </c>
      <c r="I1" s="21" t="s">
        <v>1584</v>
      </c>
      <c r="J1" s="119" t="s">
        <v>1250</v>
      </c>
    </row>
    <row r="2" spans="1:13" ht="140.25">
      <c r="A2" s="21">
        <v>1</v>
      </c>
      <c r="B2" s="21">
        <v>3000120447</v>
      </c>
      <c r="C2" s="10" t="s">
        <v>1793</v>
      </c>
      <c r="D2" s="10" t="s">
        <v>1794</v>
      </c>
      <c r="E2" s="121" t="s">
        <v>1795</v>
      </c>
      <c r="F2" s="203" t="s">
        <v>1614</v>
      </c>
      <c r="G2" s="10">
        <v>6</v>
      </c>
      <c r="H2" s="204">
        <f>J2</f>
        <v>14500</v>
      </c>
      <c r="I2" s="204">
        <f>H2*G2</f>
        <v>87000</v>
      </c>
      <c r="J2" s="188">
        <v>14500</v>
      </c>
    </row>
    <row r="3" spans="1:13">
      <c r="A3" s="21">
        <f t="shared" ref="A3:A5" si="0">ROW()-1</f>
        <v>2</v>
      </c>
      <c r="B3" s="21"/>
      <c r="C3" s="417" t="s">
        <v>76</v>
      </c>
      <c r="D3" s="417"/>
      <c r="E3" s="417"/>
      <c r="F3" s="417"/>
      <c r="G3" s="417"/>
      <c r="H3" s="417"/>
      <c r="I3" s="185">
        <f>I2</f>
        <v>87000</v>
      </c>
      <c r="J3" s="188">
        <v>82500</v>
      </c>
      <c r="K3" s="188" t="s">
        <v>1885</v>
      </c>
      <c r="L3" s="188"/>
      <c r="M3" s="188"/>
    </row>
    <row r="4" spans="1:13">
      <c r="A4" s="21">
        <f t="shared" si="0"/>
        <v>3</v>
      </c>
      <c r="B4" s="21"/>
      <c r="C4" s="417" t="s">
        <v>1637</v>
      </c>
      <c r="D4" s="417"/>
      <c r="E4" s="417"/>
      <c r="F4" s="417"/>
      <c r="G4" s="417"/>
      <c r="H4" s="417"/>
      <c r="I4" s="185">
        <f>I3*18%</f>
        <v>15660</v>
      </c>
      <c r="K4" s="188"/>
      <c r="L4" s="188"/>
      <c r="M4" s="188"/>
    </row>
    <row r="5" spans="1:13">
      <c r="A5" s="21">
        <f t="shared" si="0"/>
        <v>4</v>
      </c>
      <c r="B5" s="21"/>
      <c r="C5" s="417" t="s">
        <v>742</v>
      </c>
      <c r="D5" s="417"/>
      <c r="E5" s="417"/>
      <c r="F5" s="417"/>
      <c r="G5" s="417"/>
      <c r="H5" s="417"/>
      <c r="I5" s="185">
        <f>SUM(I3:I4)</f>
        <v>102660</v>
      </c>
      <c r="K5" s="188"/>
      <c r="L5" s="188"/>
      <c r="M5" s="188"/>
    </row>
    <row r="6" spans="1:13">
      <c r="A6" s="418"/>
      <c r="B6" s="419"/>
      <c r="C6" s="419"/>
      <c r="D6" s="419"/>
      <c r="E6" s="419"/>
      <c r="F6" s="419"/>
      <c r="G6" s="419"/>
      <c r="H6" s="419"/>
      <c r="I6" s="420"/>
    </row>
    <row r="7" spans="1:13" ht="140.25" customHeight="1">
      <c r="A7" s="128" t="s">
        <v>80</v>
      </c>
      <c r="B7" s="360" t="s">
        <v>1765</v>
      </c>
      <c r="C7" s="360"/>
      <c r="D7" s="360"/>
      <c r="E7" s="360"/>
      <c r="F7" s="360"/>
      <c r="G7" s="360"/>
      <c r="H7" s="360"/>
      <c r="I7" s="361"/>
    </row>
  </sheetData>
  <mergeCells count="5">
    <mergeCell ref="C3:H3"/>
    <mergeCell ref="C4:H4"/>
    <mergeCell ref="C5:H5"/>
    <mergeCell ref="A6:I6"/>
    <mergeCell ref="B7:I7"/>
  </mergeCells>
  <printOptions horizontalCentered="1"/>
  <pageMargins left="0.31496062992125984" right="0.31496062992125984" top="0.55118110236220474" bottom="0.55118110236220474" header="0.31496062992125984" footer="0.31496062992125984"/>
  <pageSetup orientation="landscape" horizontalDpi="4294967292" r:id="rId1"/>
  <headerFooter>
    <oddFooter>Page &amp;P of &amp;N</oddFooter>
  </headerFooter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N8"/>
  <sheetViews>
    <sheetView topLeftCell="C1" zoomScaleNormal="100" workbookViewId="0">
      <selection activeCell="M8" sqref="M8"/>
    </sheetView>
  </sheetViews>
  <sheetFormatPr defaultColWidth="9.140625" defaultRowHeight="12.75"/>
  <cols>
    <col min="1" max="1" width="5.85546875" style="119" bestFit="1" customWidth="1"/>
    <col min="2" max="2" width="15.85546875" style="119" customWidth="1"/>
    <col min="3" max="3" width="18.7109375" style="119" customWidth="1"/>
    <col min="4" max="4" width="22" style="119" customWidth="1"/>
    <col min="5" max="5" width="42.85546875" style="119" customWidth="1"/>
    <col min="6" max="6" width="8.85546875" style="119" customWidth="1"/>
    <col min="7" max="7" width="11.5703125" style="119" customWidth="1"/>
    <col min="8" max="8" width="17" style="119" customWidth="1"/>
    <col min="9" max="9" width="15.42578125" style="119" customWidth="1"/>
    <col min="10" max="10" width="11.42578125" style="119" bestFit="1" customWidth="1"/>
    <col min="11" max="11" width="12.5703125" style="119" bestFit="1" customWidth="1"/>
    <col min="12" max="12" width="13" style="119" customWidth="1"/>
    <col min="13" max="13" width="13.140625" style="119" customWidth="1"/>
    <col min="14" max="16384" width="9.140625" style="119"/>
  </cols>
  <sheetData>
    <row r="1" spans="1:14">
      <c r="A1" s="21" t="s">
        <v>0</v>
      </c>
      <c r="B1" s="21" t="s">
        <v>503</v>
      </c>
      <c r="C1" s="10" t="s">
        <v>1604</v>
      </c>
      <c r="D1" s="10" t="s">
        <v>778</v>
      </c>
      <c r="E1" s="173" t="s">
        <v>67</v>
      </c>
      <c r="F1" s="173" t="s">
        <v>3</v>
      </c>
      <c r="G1" s="117" t="s">
        <v>1582</v>
      </c>
      <c r="H1" s="21" t="s">
        <v>1583</v>
      </c>
      <c r="I1" s="21" t="s">
        <v>1584</v>
      </c>
      <c r="J1" s="119" t="s">
        <v>1250</v>
      </c>
      <c r="K1" s="119" t="s">
        <v>1802</v>
      </c>
      <c r="M1" s="119" t="s">
        <v>1862</v>
      </c>
      <c r="N1" s="119" t="s">
        <v>1863</v>
      </c>
    </row>
    <row r="2" spans="1:14" ht="51">
      <c r="A2" s="21">
        <v>1</v>
      </c>
      <c r="B2" s="21">
        <v>3000119648</v>
      </c>
      <c r="C2" s="210" t="s">
        <v>1796</v>
      </c>
      <c r="D2" s="10" t="s">
        <v>1797</v>
      </c>
      <c r="E2" s="205" t="s">
        <v>1798</v>
      </c>
      <c r="F2" s="203" t="s">
        <v>1182</v>
      </c>
      <c r="G2" s="10">
        <v>48</v>
      </c>
      <c r="H2" s="204">
        <f>J2</f>
        <v>128</v>
      </c>
      <c r="I2" s="204">
        <f>H2*G2</f>
        <v>6144</v>
      </c>
      <c r="J2" s="188">
        <v>128</v>
      </c>
      <c r="K2" s="188">
        <v>98</v>
      </c>
      <c r="L2" s="119" t="s">
        <v>1803</v>
      </c>
      <c r="M2" s="188">
        <v>98</v>
      </c>
      <c r="N2" s="188">
        <v>63.7</v>
      </c>
    </row>
    <row r="3" spans="1:14" ht="63.75">
      <c r="A3" s="21">
        <v>2</v>
      </c>
      <c r="B3" s="21">
        <v>3000119648</v>
      </c>
      <c r="C3" s="211" t="s">
        <v>1799</v>
      </c>
      <c r="D3" s="10" t="s">
        <v>1800</v>
      </c>
      <c r="E3" s="205" t="s">
        <v>1801</v>
      </c>
      <c r="F3" s="203" t="s">
        <v>121</v>
      </c>
      <c r="G3" s="10">
        <v>48</v>
      </c>
      <c r="H3" s="204">
        <f>J3</f>
        <v>84</v>
      </c>
      <c r="I3" s="204">
        <f>H3*G3</f>
        <v>4032</v>
      </c>
      <c r="J3" s="188">
        <v>84</v>
      </c>
      <c r="K3" s="188">
        <v>56</v>
      </c>
      <c r="L3" s="119" t="s">
        <v>1803</v>
      </c>
      <c r="M3" s="188">
        <v>55</v>
      </c>
      <c r="N3" s="188">
        <v>35.75</v>
      </c>
    </row>
    <row r="4" spans="1:14">
      <c r="A4" s="21">
        <f t="shared" ref="A4:A6" si="0">ROW()-1</f>
        <v>3</v>
      </c>
      <c r="B4" s="21"/>
      <c r="C4" s="417" t="s">
        <v>76</v>
      </c>
      <c r="D4" s="417"/>
      <c r="E4" s="417"/>
      <c r="F4" s="417"/>
      <c r="G4" s="417"/>
      <c r="H4" s="417"/>
      <c r="I4" s="185">
        <f>SUM(I2:I3)</f>
        <v>10176</v>
      </c>
      <c r="J4" s="188"/>
      <c r="K4" s="188"/>
      <c r="L4" s="188"/>
      <c r="M4" s="188"/>
    </row>
    <row r="5" spans="1:14">
      <c r="A5" s="21">
        <f t="shared" si="0"/>
        <v>4</v>
      </c>
      <c r="B5" s="21"/>
      <c r="C5" s="417" t="s">
        <v>1637</v>
      </c>
      <c r="D5" s="417"/>
      <c r="E5" s="417"/>
      <c r="F5" s="417"/>
      <c r="G5" s="417"/>
      <c r="H5" s="417"/>
      <c r="I5" s="185">
        <f>I4*18%</f>
        <v>1831.6799999999998</v>
      </c>
      <c r="K5" s="188"/>
      <c r="L5" s="188"/>
      <c r="M5" s="188"/>
    </row>
    <row r="6" spans="1:14">
      <c r="A6" s="21">
        <f t="shared" si="0"/>
        <v>5</v>
      </c>
      <c r="B6" s="21"/>
      <c r="C6" s="417" t="s">
        <v>742</v>
      </c>
      <c r="D6" s="417"/>
      <c r="E6" s="417"/>
      <c r="F6" s="417"/>
      <c r="G6" s="417"/>
      <c r="H6" s="417"/>
      <c r="I6" s="185">
        <f>SUM(I4:I5)</f>
        <v>12007.68</v>
      </c>
      <c r="K6" s="188"/>
      <c r="L6" s="188"/>
      <c r="M6" s="188"/>
    </row>
    <row r="7" spans="1:14">
      <c r="A7" s="418"/>
      <c r="B7" s="419"/>
      <c r="C7" s="419"/>
      <c r="D7" s="419"/>
      <c r="E7" s="419"/>
      <c r="F7" s="419"/>
      <c r="G7" s="419"/>
      <c r="H7" s="419"/>
      <c r="I7" s="420"/>
    </row>
    <row r="8" spans="1:14" ht="140.25" customHeight="1">
      <c r="A8" s="128" t="s">
        <v>80</v>
      </c>
      <c r="B8" s="360" t="s">
        <v>1765</v>
      </c>
      <c r="C8" s="360"/>
      <c r="D8" s="360"/>
      <c r="E8" s="360"/>
      <c r="F8" s="360"/>
      <c r="G8" s="360"/>
      <c r="H8" s="360"/>
      <c r="I8" s="361"/>
    </row>
  </sheetData>
  <mergeCells count="5">
    <mergeCell ref="C4:H4"/>
    <mergeCell ref="C5:H5"/>
    <mergeCell ref="C6:H6"/>
    <mergeCell ref="A7:I7"/>
    <mergeCell ref="B8:I8"/>
  </mergeCells>
  <printOptions horizontalCentered="1"/>
  <pageMargins left="0.31496062992125984" right="0.31496062992125984" top="0.55118110236220474" bottom="0.55118110236220474" header="0.31496062992125984" footer="0.31496062992125984"/>
  <pageSetup orientation="landscape" horizontalDpi="4294967292" r:id="rId1"/>
  <headerFooter>
    <oddFooter>Page &amp;P of &amp;N</oddFooter>
  </headerFooter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N28"/>
  <sheetViews>
    <sheetView zoomScaleNormal="100" workbookViewId="0">
      <selection activeCell="D2" sqref="D2"/>
    </sheetView>
  </sheetViews>
  <sheetFormatPr defaultColWidth="9.140625" defaultRowHeight="12.75"/>
  <cols>
    <col min="1" max="1" width="5.85546875" style="119" bestFit="1" customWidth="1"/>
    <col min="2" max="2" width="15.85546875" style="119" customWidth="1"/>
    <col min="3" max="3" width="18.7109375" style="119" customWidth="1"/>
    <col min="4" max="4" width="22" style="119" customWidth="1"/>
    <col min="5" max="5" width="42.85546875" style="119" customWidth="1"/>
    <col min="6" max="6" width="8.85546875" style="119" customWidth="1"/>
    <col min="7" max="7" width="11.5703125" style="119" customWidth="1"/>
    <col min="8" max="8" width="17" style="119" customWidth="1"/>
    <col min="9" max="9" width="15.42578125" style="119" customWidth="1"/>
    <col min="10" max="10" width="11.42578125" style="119" bestFit="1" customWidth="1"/>
    <col min="11" max="11" width="14.28515625" style="119" customWidth="1"/>
    <col min="12" max="12" width="13" style="119" customWidth="1"/>
    <col min="13" max="13" width="13.140625" style="119" customWidth="1"/>
    <col min="14" max="14" width="10.140625" style="119" bestFit="1" customWidth="1"/>
    <col min="15" max="16384" width="9.140625" style="119"/>
  </cols>
  <sheetData>
    <row r="1" spans="1:14">
      <c r="A1" s="21" t="s">
        <v>0</v>
      </c>
      <c r="B1" s="21" t="s">
        <v>503</v>
      </c>
      <c r="C1" s="10" t="s">
        <v>1604</v>
      </c>
      <c r="D1" s="10" t="s">
        <v>778</v>
      </c>
      <c r="E1" s="173" t="s">
        <v>67</v>
      </c>
      <c r="F1" s="173" t="s">
        <v>3</v>
      </c>
      <c r="G1" s="117" t="s">
        <v>1582</v>
      </c>
      <c r="H1" s="21" t="s">
        <v>1583</v>
      </c>
      <c r="I1" s="21" t="s">
        <v>1584</v>
      </c>
      <c r="J1" s="119" t="s">
        <v>1250</v>
      </c>
      <c r="K1" s="119" t="s">
        <v>1864</v>
      </c>
      <c r="L1" s="119" t="s">
        <v>1865</v>
      </c>
      <c r="M1" s="119" t="s">
        <v>1866</v>
      </c>
    </row>
    <row r="2" spans="1:14" ht="51">
      <c r="A2" s="21">
        <f>ROW()-1</f>
        <v>1</v>
      </c>
      <c r="B2" s="213">
        <v>3000120034</v>
      </c>
      <c r="C2" s="214" t="s">
        <v>1804</v>
      </c>
      <c r="D2" s="215" t="s">
        <v>1805</v>
      </c>
      <c r="E2" s="216" t="s">
        <v>1806</v>
      </c>
      <c r="F2" s="217" t="s">
        <v>121</v>
      </c>
      <c r="G2" s="215">
        <v>20</v>
      </c>
      <c r="H2" s="218">
        <f>J2</f>
        <v>135.20000000000002</v>
      </c>
      <c r="I2" s="218">
        <f>H2*G2</f>
        <v>2704.0000000000005</v>
      </c>
      <c r="J2" s="188">
        <f>M2*1.3</f>
        <v>135.20000000000002</v>
      </c>
      <c r="K2" s="188">
        <v>160</v>
      </c>
      <c r="L2" s="212">
        <v>0.35</v>
      </c>
      <c r="M2" s="188">
        <f>K2-(K2*L2)</f>
        <v>104</v>
      </c>
      <c r="N2" s="188">
        <f>G2*M2</f>
        <v>2080</v>
      </c>
    </row>
    <row r="3" spans="1:14" ht="76.5">
      <c r="A3" s="21">
        <f t="shared" ref="A3:A20" si="0">ROW()-1</f>
        <v>2</v>
      </c>
      <c r="B3" s="213">
        <v>3000120034</v>
      </c>
      <c r="C3" s="214" t="s">
        <v>1807</v>
      </c>
      <c r="D3" s="215" t="s">
        <v>1808</v>
      </c>
      <c r="E3" s="216" t="s">
        <v>1809</v>
      </c>
      <c r="F3" s="217" t="s">
        <v>121</v>
      </c>
      <c r="G3" s="215">
        <v>30</v>
      </c>
      <c r="H3" s="218">
        <f t="shared" ref="H3:H17" si="1">J3</f>
        <v>275.47000000000003</v>
      </c>
      <c r="I3" s="218">
        <f t="shared" ref="I3:I17" si="2">H3*G3</f>
        <v>8264.1</v>
      </c>
      <c r="J3" s="188">
        <f t="shared" ref="J3:J6" si="3">M3*1.3</f>
        <v>275.47000000000003</v>
      </c>
      <c r="K3" s="188">
        <v>326</v>
      </c>
      <c r="L3" s="212">
        <v>0.35</v>
      </c>
      <c r="M3" s="188">
        <f t="shared" ref="M3:M17" si="4">K3-(K3*L3)</f>
        <v>211.9</v>
      </c>
      <c r="N3" s="188">
        <f t="shared" ref="N3:N6" si="5">G3*M3</f>
        <v>6357</v>
      </c>
    </row>
    <row r="4" spans="1:14" ht="51">
      <c r="A4" s="21">
        <f t="shared" si="0"/>
        <v>3</v>
      </c>
      <c r="B4" s="213">
        <v>3000120034</v>
      </c>
      <c r="C4" s="214" t="s">
        <v>1810</v>
      </c>
      <c r="D4" s="215" t="s">
        <v>1811</v>
      </c>
      <c r="E4" s="216" t="s">
        <v>1812</v>
      </c>
      <c r="F4" s="217" t="s">
        <v>121</v>
      </c>
      <c r="G4" s="215">
        <v>20</v>
      </c>
      <c r="H4" s="218">
        <f t="shared" si="1"/>
        <v>274.3</v>
      </c>
      <c r="I4" s="218">
        <f t="shared" si="2"/>
        <v>5486</v>
      </c>
      <c r="J4" s="188">
        <f t="shared" si="3"/>
        <v>274.3</v>
      </c>
      <c r="K4" s="188">
        <v>211</v>
      </c>
      <c r="L4" s="212">
        <v>0</v>
      </c>
      <c r="M4" s="188">
        <f t="shared" si="4"/>
        <v>211</v>
      </c>
      <c r="N4" s="188">
        <f t="shared" si="5"/>
        <v>4220</v>
      </c>
    </row>
    <row r="5" spans="1:14" ht="63.75">
      <c r="A5" s="21">
        <f t="shared" si="0"/>
        <v>4</v>
      </c>
      <c r="B5" s="213">
        <v>3000120034</v>
      </c>
      <c r="C5" s="214" t="s">
        <v>1813</v>
      </c>
      <c r="D5" s="215" t="s">
        <v>1814</v>
      </c>
      <c r="E5" s="216" t="s">
        <v>1815</v>
      </c>
      <c r="F5" s="217" t="s">
        <v>1816</v>
      </c>
      <c r="G5" s="215">
        <v>4</v>
      </c>
      <c r="H5" s="218">
        <f t="shared" si="1"/>
        <v>967.52499999999998</v>
      </c>
      <c r="I5" s="218">
        <f t="shared" si="2"/>
        <v>3870.1</v>
      </c>
      <c r="J5" s="188">
        <f t="shared" si="3"/>
        <v>967.52499999999998</v>
      </c>
      <c r="K5" s="188">
        <v>1145</v>
      </c>
      <c r="L5" s="212">
        <v>0.35</v>
      </c>
      <c r="M5" s="188">
        <f t="shared" si="4"/>
        <v>744.25</v>
      </c>
      <c r="N5" s="188">
        <f t="shared" si="5"/>
        <v>2977</v>
      </c>
    </row>
    <row r="6" spans="1:14" ht="76.5">
      <c r="A6" s="21">
        <f t="shared" si="0"/>
        <v>5</v>
      </c>
      <c r="B6" s="213">
        <v>3000120034</v>
      </c>
      <c r="C6" s="214" t="s">
        <v>1817</v>
      </c>
      <c r="D6" s="215" t="s">
        <v>1818</v>
      </c>
      <c r="E6" s="216" t="s">
        <v>1819</v>
      </c>
      <c r="F6" s="217" t="s">
        <v>121</v>
      </c>
      <c r="G6" s="215">
        <v>15</v>
      </c>
      <c r="H6" s="218">
        <f t="shared" si="1"/>
        <v>357.43500000000006</v>
      </c>
      <c r="I6" s="218">
        <f t="shared" si="2"/>
        <v>5361.5250000000005</v>
      </c>
      <c r="J6" s="188">
        <f t="shared" si="3"/>
        <v>357.43500000000006</v>
      </c>
      <c r="K6" s="188">
        <v>423</v>
      </c>
      <c r="L6" s="212">
        <v>0.35</v>
      </c>
      <c r="M6" s="188">
        <f t="shared" si="4"/>
        <v>274.95000000000005</v>
      </c>
      <c r="N6" s="188">
        <f t="shared" si="5"/>
        <v>4124.2500000000009</v>
      </c>
    </row>
    <row r="7" spans="1:14" ht="51">
      <c r="A7" s="21">
        <f t="shared" si="0"/>
        <v>6</v>
      </c>
      <c r="B7" s="219">
        <v>3000120034</v>
      </c>
      <c r="C7" s="220" t="s">
        <v>1820</v>
      </c>
      <c r="D7" s="221" t="s">
        <v>1821</v>
      </c>
      <c r="E7" s="222" t="s">
        <v>1822</v>
      </c>
      <c r="F7" s="223" t="s">
        <v>121</v>
      </c>
      <c r="G7" s="221">
        <v>12</v>
      </c>
      <c r="H7" s="224">
        <f t="shared" si="1"/>
        <v>7890.2849999999999</v>
      </c>
      <c r="I7" s="224">
        <f t="shared" si="2"/>
        <v>94683.42</v>
      </c>
      <c r="J7" s="188">
        <f>M7*1.075</f>
        <v>7890.2849999999999</v>
      </c>
      <c r="K7" s="188">
        <v>11292</v>
      </c>
      <c r="L7" s="212">
        <v>0.35</v>
      </c>
      <c r="M7" s="188">
        <f t="shared" si="4"/>
        <v>7339.8</v>
      </c>
    </row>
    <row r="8" spans="1:14" ht="89.25">
      <c r="A8" s="21">
        <f t="shared" si="0"/>
        <v>7</v>
      </c>
      <c r="B8" s="21">
        <v>3000120034</v>
      </c>
      <c r="C8" s="211" t="s">
        <v>1823</v>
      </c>
      <c r="D8" s="10" t="s">
        <v>1824</v>
      </c>
      <c r="E8" s="205" t="s">
        <v>1825</v>
      </c>
      <c r="F8" s="203" t="s">
        <v>121</v>
      </c>
      <c r="G8" s="10">
        <v>2</v>
      </c>
      <c r="H8" s="204">
        <f t="shared" si="1"/>
        <v>0</v>
      </c>
      <c r="I8" s="204">
        <f t="shared" si="2"/>
        <v>0</v>
      </c>
      <c r="J8" s="188">
        <f t="shared" ref="J8:J12" si="6">M8*1.3</f>
        <v>0</v>
      </c>
      <c r="K8" s="188"/>
      <c r="L8" s="212"/>
      <c r="M8" s="188">
        <f t="shared" si="4"/>
        <v>0</v>
      </c>
    </row>
    <row r="9" spans="1:14" ht="76.5">
      <c r="A9" s="177">
        <f t="shared" si="0"/>
        <v>8</v>
      </c>
      <c r="B9" s="219">
        <v>3000120034</v>
      </c>
      <c r="C9" s="220" t="s">
        <v>1826</v>
      </c>
      <c r="D9" s="221" t="s">
        <v>1827</v>
      </c>
      <c r="E9" s="222" t="s">
        <v>1828</v>
      </c>
      <c r="F9" s="223" t="s">
        <v>121</v>
      </c>
      <c r="G9" s="221">
        <v>2</v>
      </c>
      <c r="H9" s="224">
        <f t="shared" si="1"/>
        <v>4439.1587500000005</v>
      </c>
      <c r="I9" s="224">
        <f t="shared" si="2"/>
        <v>8878.317500000001</v>
      </c>
      <c r="J9" s="188">
        <f t="shared" ref="J9:J11" si="7">M9*1.075</f>
        <v>4439.1587500000005</v>
      </c>
      <c r="K9" s="188">
        <v>6353</v>
      </c>
      <c r="L9" s="212">
        <v>0.35</v>
      </c>
      <c r="M9" s="188">
        <f t="shared" si="4"/>
        <v>4129.4500000000007</v>
      </c>
    </row>
    <row r="10" spans="1:14" ht="76.5">
      <c r="A10" s="177">
        <f t="shared" si="0"/>
        <v>9</v>
      </c>
      <c r="B10" s="219">
        <v>3000120034</v>
      </c>
      <c r="C10" s="220" t="s">
        <v>1829</v>
      </c>
      <c r="D10" s="221" t="s">
        <v>1830</v>
      </c>
      <c r="E10" s="222" t="s">
        <v>1831</v>
      </c>
      <c r="F10" s="223" t="s">
        <v>121</v>
      </c>
      <c r="G10" s="221">
        <v>2</v>
      </c>
      <c r="H10" s="224">
        <f t="shared" si="1"/>
        <v>5933.7849999999999</v>
      </c>
      <c r="I10" s="224">
        <f t="shared" si="2"/>
        <v>11867.57</v>
      </c>
      <c r="J10" s="188">
        <f t="shared" si="7"/>
        <v>5933.7849999999999</v>
      </c>
      <c r="K10" s="188">
        <v>8492</v>
      </c>
      <c r="L10" s="212">
        <v>0.35</v>
      </c>
      <c r="M10" s="188">
        <f t="shared" si="4"/>
        <v>5519.8</v>
      </c>
    </row>
    <row r="11" spans="1:14" ht="76.5">
      <c r="A11" s="177">
        <f t="shared" si="0"/>
        <v>10</v>
      </c>
      <c r="B11" s="219">
        <v>3000120034</v>
      </c>
      <c r="C11" s="220" t="s">
        <v>1832</v>
      </c>
      <c r="D11" s="221" t="s">
        <v>1833</v>
      </c>
      <c r="E11" s="222" t="s">
        <v>1834</v>
      </c>
      <c r="F11" s="223" t="s">
        <v>121</v>
      </c>
      <c r="G11" s="221">
        <v>2</v>
      </c>
      <c r="H11" s="224">
        <f t="shared" si="1"/>
        <v>10312.85125</v>
      </c>
      <c r="I11" s="224">
        <f t="shared" si="2"/>
        <v>20625.702499999999</v>
      </c>
      <c r="J11" s="188">
        <f t="shared" si="7"/>
        <v>10312.85125</v>
      </c>
      <c r="K11" s="188">
        <v>14759</v>
      </c>
      <c r="L11" s="212">
        <v>0.35</v>
      </c>
      <c r="M11" s="188">
        <f t="shared" si="4"/>
        <v>9593.35</v>
      </c>
    </row>
    <row r="12" spans="1:14" ht="76.5">
      <c r="A12" s="21">
        <f t="shared" si="0"/>
        <v>11</v>
      </c>
      <c r="B12" s="21">
        <v>3000120034</v>
      </c>
      <c r="C12" s="211" t="s">
        <v>1835</v>
      </c>
      <c r="D12" s="10" t="s">
        <v>1836</v>
      </c>
      <c r="E12" s="205" t="s">
        <v>1837</v>
      </c>
      <c r="F12" s="203" t="s">
        <v>121</v>
      </c>
      <c r="G12" s="10">
        <v>4</v>
      </c>
      <c r="H12" s="204">
        <f t="shared" si="1"/>
        <v>0</v>
      </c>
      <c r="I12" s="204">
        <f t="shared" si="2"/>
        <v>0</v>
      </c>
      <c r="J12" s="188">
        <f t="shared" si="6"/>
        <v>0</v>
      </c>
      <c r="K12" s="188"/>
      <c r="L12" s="212"/>
      <c r="M12" s="188">
        <f t="shared" si="4"/>
        <v>0</v>
      </c>
    </row>
    <row r="13" spans="1:14" ht="114.75">
      <c r="A13" s="21">
        <f t="shared" si="0"/>
        <v>12</v>
      </c>
      <c r="B13" s="225">
        <v>3000120034</v>
      </c>
      <c r="C13" s="226" t="s">
        <v>1838</v>
      </c>
      <c r="D13" s="227" t="s">
        <v>1839</v>
      </c>
      <c r="E13" s="228" t="s">
        <v>1840</v>
      </c>
      <c r="F13" s="229" t="s">
        <v>221</v>
      </c>
      <c r="G13" s="227">
        <v>1</v>
      </c>
      <c r="H13" s="230">
        <f t="shared" si="1"/>
        <v>3457.7400000000002</v>
      </c>
      <c r="I13" s="230">
        <f t="shared" si="2"/>
        <v>3457.7400000000002</v>
      </c>
      <c r="J13" s="188">
        <f>M13*1.1</f>
        <v>3457.7400000000002</v>
      </c>
      <c r="K13" s="188">
        <v>4836</v>
      </c>
      <c r="L13" s="212">
        <v>0.35</v>
      </c>
      <c r="M13" s="188">
        <f t="shared" si="4"/>
        <v>3143.4</v>
      </c>
    </row>
    <row r="14" spans="1:14" ht="51">
      <c r="A14" s="21">
        <f t="shared" si="0"/>
        <v>13</v>
      </c>
      <c r="B14" s="219">
        <v>3000120034</v>
      </c>
      <c r="C14" s="220" t="s">
        <v>1841</v>
      </c>
      <c r="D14" s="221" t="s">
        <v>1842</v>
      </c>
      <c r="E14" s="222" t="s">
        <v>1843</v>
      </c>
      <c r="F14" s="223" t="s">
        <v>121</v>
      </c>
      <c r="G14" s="221">
        <v>7</v>
      </c>
      <c r="H14" s="224">
        <f t="shared" si="1"/>
        <v>11458.102500000001</v>
      </c>
      <c r="I14" s="224">
        <f t="shared" si="2"/>
        <v>80206.717499999999</v>
      </c>
      <c r="J14" s="188">
        <f t="shared" ref="J14:J17" si="8">M14*1.075</f>
        <v>11458.102500000001</v>
      </c>
      <c r="K14" s="188">
        <v>16398</v>
      </c>
      <c r="L14" s="212">
        <v>0.35</v>
      </c>
      <c r="M14" s="188">
        <f t="shared" si="4"/>
        <v>10658.7</v>
      </c>
    </row>
    <row r="15" spans="1:14" ht="89.25">
      <c r="A15" s="21">
        <f t="shared" si="0"/>
        <v>14</v>
      </c>
      <c r="B15" s="219">
        <v>3000120034</v>
      </c>
      <c r="C15" s="220" t="s">
        <v>1844</v>
      </c>
      <c r="D15" s="221" t="s">
        <v>1845</v>
      </c>
      <c r="E15" s="222" t="s">
        <v>1846</v>
      </c>
      <c r="F15" s="223" t="s">
        <v>121</v>
      </c>
      <c r="G15" s="221">
        <v>6</v>
      </c>
      <c r="H15" s="224">
        <f t="shared" si="1"/>
        <v>6594.1037500000002</v>
      </c>
      <c r="I15" s="224">
        <f t="shared" si="2"/>
        <v>39564.622499999998</v>
      </c>
      <c r="J15" s="188">
        <f t="shared" si="8"/>
        <v>6594.1037500000002</v>
      </c>
      <c r="K15" s="188">
        <v>9437</v>
      </c>
      <c r="L15" s="212">
        <v>0.35</v>
      </c>
      <c r="M15" s="188">
        <f t="shared" si="4"/>
        <v>6134.05</v>
      </c>
    </row>
    <row r="16" spans="1:14" ht="114.75">
      <c r="A16" s="21">
        <f t="shared" si="0"/>
        <v>15</v>
      </c>
      <c r="B16" s="219">
        <v>3000120034</v>
      </c>
      <c r="C16" s="220" t="s">
        <v>1847</v>
      </c>
      <c r="D16" s="221" t="s">
        <v>1848</v>
      </c>
      <c r="E16" s="222" t="s">
        <v>1849</v>
      </c>
      <c r="F16" s="223" t="s">
        <v>1182</v>
      </c>
      <c r="G16" s="221">
        <v>4</v>
      </c>
      <c r="H16" s="224">
        <f t="shared" si="1"/>
        <v>4561.4400000000005</v>
      </c>
      <c r="I16" s="224">
        <f t="shared" si="2"/>
        <v>18245.760000000002</v>
      </c>
      <c r="J16" s="188">
        <f t="shared" si="8"/>
        <v>4561.4400000000005</v>
      </c>
      <c r="K16" s="188">
        <v>6528</v>
      </c>
      <c r="L16" s="212">
        <v>0.35</v>
      </c>
      <c r="M16" s="188">
        <f t="shared" si="4"/>
        <v>4243.2000000000007</v>
      </c>
    </row>
    <row r="17" spans="1:13" ht="76.5">
      <c r="A17" s="21">
        <f t="shared" si="0"/>
        <v>16</v>
      </c>
      <c r="B17" s="219">
        <v>3000120034</v>
      </c>
      <c r="C17" s="220" t="s">
        <v>1850</v>
      </c>
      <c r="D17" s="221" t="s">
        <v>1851</v>
      </c>
      <c r="E17" s="222" t="s">
        <v>1852</v>
      </c>
      <c r="F17" s="223" t="s">
        <v>121</v>
      </c>
      <c r="G17" s="221">
        <v>6</v>
      </c>
      <c r="H17" s="224">
        <f t="shared" si="1"/>
        <v>1386.75</v>
      </c>
      <c r="I17" s="224">
        <f t="shared" si="2"/>
        <v>8320.5</v>
      </c>
      <c r="J17" s="188">
        <f t="shared" si="8"/>
        <v>1386.75</v>
      </c>
      <c r="K17" s="188">
        <v>1290</v>
      </c>
      <c r="L17" s="212">
        <v>0</v>
      </c>
      <c r="M17" s="188">
        <f t="shared" si="4"/>
        <v>1290</v>
      </c>
    </row>
    <row r="18" spans="1:13">
      <c r="A18" s="21">
        <f t="shared" si="0"/>
        <v>17</v>
      </c>
      <c r="B18" s="21"/>
      <c r="C18" s="417" t="s">
        <v>76</v>
      </c>
      <c r="D18" s="417"/>
      <c r="E18" s="417"/>
      <c r="F18" s="417"/>
      <c r="G18" s="417"/>
      <c r="H18" s="417"/>
      <c r="I18" s="185">
        <f>SUM(I2:I17)</f>
        <v>311536.07499999995</v>
      </c>
      <c r="J18" s="188"/>
      <c r="K18" s="188"/>
      <c r="L18" s="188"/>
      <c r="M18" s="188"/>
    </row>
    <row r="19" spans="1:13">
      <c r="A19" s="21">
        <f t="shared" si="0"/>
        <v>18</v>
      </c>
      <c r="B19" s="21"/>
      <c r="C19" s="417" t="s">
        <v>1637</v>
      </c>
      <c r="D19" s="417"/>
      <c r="E19" s="417"/>
      <c r="F19" s="417"/>
      <c r="G19" s="417"/>
      <c r="H19" s="417"/>
      <c r="I19" s="185">
        <f>I18*18%</f>
        <v>56076.49349999999</v>
      </c>
      <c r="K19" s="188"/>
      <c r="L19" s="188"/>
      <c r="M19" s="188"/>
    </row>
    <row r="20" spans="1:13">
      <c r="A20" s="21">
        <f t="shared" si="0"/>
        <v>19</v>
      </c>
      <c r="B20" s="21"/>
      <c r="C20" s="417" t="s">
        <v>742</v>
      </c>
      <c r="D20" s="417"/>
      <c r="E20" s="417"/>
      <c r="F20" s="417"/>
      <c r="G20" s="417"/>
      <c r="H20" s="417"/>
      <c r="I20" s="185">
        <f>SUM(I18:I19)</f>
        <v>367612.56849999994</v>
      </c>
      <c r="K20" s="188"/>
      <c r="L20" s="188"/>
      <c r="M20" s="188"/>
    </row>
    <row r="21" spans="1:13">
      <c r="A21" s="418"/>
      <c r="B21" s="419"/>
      <c r="C21" s="419"/>
      <c r="D21" s="419"/>
      <c r="E21" s="419"/>
      <c r="F21" s="419"/>
      <c r="G21" s="419"/>
      <c r="H21" s="419"/>
      <c r="I21" s="420"/>
    </row>
    <row r="22" spans="1:13" ht="140.25" customHeight="1">
      <c r="A22" s="128" t="s">
        <v>80</v>
      </c>
      <c r="B22" s="360" t="s">
        <v>1765</v>
      </c>
      <c r="C22" s="360"/>
      <c r="D22" s="360"/>
      <c r="E22" s="360"/>
      <c r="F22" s="360"/>
      <c r="G22" s="360"/>
      <c r="H22" s="360"/>
      <c r="I22" s="361"/>
    </row>
    <row r="27" spans="1:13">
      <c r="D27" s="231"/>
      <c r="E27" s="188">
        <v>279675</v>
      </c>
    </row>
    <row r="28" spans="1:13">
      <c r="D28" s="232"/>
      <c r="E28" s="188">
        <v>3457.74</v>
      </c>
    </row>
  </sheetData>
  <mergeCells count="5">
    <mergeCell ref="C18:H18"/>
    <mergeCell ref="C19:H19"/>
    <mergeCell ref="C20:H20"/>
    <mergeCell ref="A21:I21"/>
    <mergeCell ref="B22:I22"/>
  </mergeCells>
  <printOptions horizontalCentered="1"/>
  <pageMargins left="0.31496062992125984" right="0.31496062992125984" top="0.55118110236220474" bottom="0.55118110236220474" header="0.31496062992125984" footer="0.31496062992125984"/>
  <pageSetup orientation="landscape" horizontalDpi="4294967292" r:id="rId1"/>
  <headerFooter>
    <oddFooter>Page &amp;P of &amp;N</oddFooter>
  </headerFooter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M9"/>
  <sheetViews>
    <sheetView zoomScaleNormal="100" workbookViewId="0">
      <selection activeCell="B2" sqref="B2"/>
    </sheetView>
  </sheetViews>
  <sheetFormatPr defaultColWidth="9.140625" defaultRowHeight="12.75"/>
  <cols>
    <col min="1" max="1" width="5.85546875" style="119" bestFit="1" customWidth="1"/>
    <col min="2" max="2" width="15.85546875" style="119" customWidth="1"/>
    <col min="3" max="3" width="18.7109375" style="119" customWidth="1"/>
    <col min="4" max="4" width="22" style="119" customWidth="1"/>
    <col min="5" max="5" width="42.85546875" style="119" customWidth="1"/>
    <col min="6" max="6" width="8.85546875" style="119" customWidth="1"/>
    <col min="7" max="7" width="11.5703125" style="119" customWidth="1"/>
    <col min="8" max="8" width="17" style="119" customWidth="1"/>
    <col min="9" max="9" width="15.42578125" style="119" customWidth="1"/>
    <col min="10" max="10" width="11.42578125" style="119" bestFit="1" customWidth="1"/>
    <col min="11" max="11" width="12.5703125" style="119" bestFit="1" customWidth="1"/>
    <col min="12" max="12" width="13" style="119" customWidth="1"/>
    <col min="13" max="13" width="13.140625" style="119" customWidth="1"/>
    <col min="14" max="16384" width="9.140625" style="119"/>
  </cols>
  <sheetData>
    <row r="1" spans="1:13" ht="13.5" customHeight="1">
      <c r="A1" s="21" t="s">
        <v>0</v>
      </c>
      <c r="B1" s="21" t="s">
        <v>503</v>
      </c>
      <c r="C1" s="10" t="s">
        <v>1604</v>
      </c>
      <c r="D1" s="10" t="s">
        <v>778</v>
      </c>
      <c r="E1" s="173" t="s">
        <v>67</v>
      </c>
      <c r="F1" s="173" t="s">
        <v>3</v>
      </c>
      <c r="G1" s="117" t="s">
        <v>1582</v>
      </c>
      <c r="H1" s="21" t="s">
        <v>1583</v>
      </c>
      <c r="I1" s="21" t="s">
        <v>1584</v>
      </c>
      <c r="J1" s="119" t="s">
        <v>1250</v>
      </c>
      <c r="K1" s="119" t="s">
        <v>1867</v>
      </c>
      <c r="L1" s="119" t="s">
        <v>1868</v>
      </c>
    </row>
    <row r="2" spans="1:13" ht="51">
      <c r="A2" s="21">
        <v>1</v>
      </c>
      <c r="B2" s="21">
        <v>3000120064</v>
      </c>
      <c r="C2" s="10" t="s">
        <v>1853</v>
      </c>
      <c r="D2" s="10" t="s">
        <v>1854</v>
      </c>
      <c r="E2" s="121" t="s">
        <v>1855</v>
      </c>
      <c r="F2" s="203" t="s">
        <v>121</v>
      </c>
      <c r="G2" s="10">
        <v>20</v>
      </c>
      <c r="H2" s="204">
        <f>J2</f>
        <v>58</v>
      </c>
      <c r="I2" s="204">
        <f>H2*G2</f>
        <v>1160</v>
      </c>
      <c r="J2" s="188">
        <v>58</v>
      </c>
      <c r="K2" s="188">
        <v>65</v>
      </c>
      <c r="L2" s="188">
        <v>39</v>
      </c>
    </row>
    <row r="3" spans="1:13" ht="63.75">
      <c r="A3" s="21">
        <v>2</v>
      </c>
      <c r="B3" s="21">
        <v>3000120064</v>
      </c>
      <c r="C3" s="10" t="s">
        <v>1856</v>
      </c>
      <c r="D3" s="10" t="s">
        <v>1857</v>
      </c>
      <c r="E3" s="121" t="s">
        <v>1858</v>
      </c>
      <c r="F3" s="203" t="s">
        <v>221</v>
      </c>
      <c r="G3" s="10">
        <v>20</v>
      </c>
      <c r="H3" s="204">
        <f t="shared" ref="H3:H4" si="0">J3</f>
        <v>305</v>
      </c>
      <c r="I3" s="204">
        <f t="shared" ref="I3:I4" si="1">H3*G3</f>
        <v>6100</v>
      </c>
      <c r="J3" s="188">
        <v>305</v>
      </c>
      <c r="L3" s="188">
        <v>263.25</v>
      </c>
    </row>
    <row r="4" spans="1:13" ht="63.75">
      <c r="A4" s="21">
        <v>3</v>
      </c>
      <c r="B4" s="21">
        <v>3000120064</v>
      </c>
      <c r="C4" s="10" t="s">
        <v>1859</v>
      </c>
      <c r="D4" s="10" t="s">
        <v>1860</v>
      </c>
      <c r="E4" s="121" t="s">
        <v>1861</v>
      </c>
      <c r="F4" s="203" t="s">
        <v>121</v>
      </c>
      <c r="G4" s="10">
        <v>20</v>
      </c>
      <c r="H4" s="204">
        <f t="shared" si="0"/>
        <v>785</v>
      </c>
      <c r="I4" s="204">
        <f t="shared" si="1"/>
        <v>15700</v>
      </c>
      <c r="J4" s="188">
        <v>785</v>
      </c>
      <c r="L4" s="188">
        <v>640.25</v>
      </c>
    </row>
    <row r="5" spans="1:13">
      <c r="A5" s="21">
        <f t="shared" ref="A5:A7" si="2">ROW()-1</f>
        <v>4</v>
      </c>
      <c r="B5" s="21"/>
      <c r="C5" s="417" t="s">
        <v>76</v>
      </c>
      <c r="D5" s="417"/>
      <c r="E5" s="417"/>
      <c r="F5" s="417"/>
      <c r="G5" s="417"/>
      <c r="H5" s="417"/>
      <c r="I5" s="185">
        <f>SUM(I2:I4)</f>
        <v>22960</v>
      </c>
      <c r="J5" s="188"/>
      <c r="K5" s="188"/>
      <c r="L5" s="188"/>
      <c r="M5" s="188"/>
    </row>
    <row r="6" spans="1:13">
      <c r="A6" s="21">
        <f t="shared" si="2"/>
        <v>5</v>
      </c>
      <c r="B6" s="21"/>
      <c r="C6" s="417" t="s">
        <v>1637</v>
      </c>
      <c r="D6" s="417"/>
      <c r="E6" s="417"/>
      <c r="F6" s="417"/>
      <c r="G6" s="417"/>
      <c r="H6" s="417"/>
      <c r="I6" s="185">
        <f>I5*18%</f>
        <v>4132.8</v>
      </c>
      <c r="K6" s="188"/>
      <c r="L6" s="188"/>
      <c r="M6" s="188"/>
    </row>
    <row r="7" spans="1:13">
      <c r="A7" s="21">
        <f t="shared" si="2"/>
        <v>6</v>
      </c>
      <c r="B7" s="21"/>
      <c r="C7" s="417" t="s">
        <v>742</v>
      </c>
      <c r="D7" s="417"/>
      <c r="E7" s="417"/>
      <c r="F7" s="417"/>
      <c r="G7" s="417"/>
      <c r="H7" s="417"/>
      <c r="I7" s="185">
        <f>SUM(I5:I6)</f>
        <v>27092.799999999999</v>
      </c>
      <c r="K7" s="188"/>
      <c r="L7" s="188"/>
      <c r="M7" s="188"/>
    </row>
    <row r="8" spans="1:13">
      <c r="A8" s="418"/>
      <c r="B8" s="419"/>
      <c r="C8" s="419"/>
      <c r="D8" s="419"/>
      <c r="E8" s="419"/>
      <c r="F8" s="419"/>
      <c r="G8" s="419"/>
      <c r="H8" s="419"/>
      <c r="I8" s="420"/>
    </row>
    <row r="9" spans="1:13" ht="140.25" customHeight="1">
      <c r="A9" s="128" t="s">
        <v>80</v>
      </c>
      <c r="B9" s="360" t="s">
        <v>1765</v>
      </c>
      <c r="C9" s="360"/>
      <c r="D9" s="360"/>
      <c r="E9" s="360"/>
      <c r="F9" s="360"/>
      <c r="G9" s="360"/>
      <c r="H9" s="360"/>
      <c r="I9" s="361"/>
    </row>
  </sheetData>
  <mergeCells count="5">
    <mergeCell ref="C5:H5"/>
    <mergeCell ref="C6:H6"/>
    <mergeCell ref="C7:H7"/>
    <mergeCell ref="A8:I8"/>
    <mergeCell ref="B9:I9"/>
  </mergeCells>
  <printOptions horizontalCentered="1"/>
  <pageMargins left="0.31496062992125984" right="0.31496062992125984" top="0.55118110236220474" bottom="0.55118110236220474" header="0.31496062992125984" footer="0.31496062992125984"/>
  <pageSetup orientation="landscape" horizontalDpi="4294967292" r:id="rId1"/>
  <headerFooter>
    <oddFooter>Page &amp;P of &amp;N</oddFooter>
  </headerFooter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516B5-C136-47AD-BDD4-61760D01EFB5}">
  <dimension ref="A1:M7"/>
  <sheetViews>
    <sheetView zoomScaleNormal="100" workbookViewId="0">
      <selection activeCell="B2" sqref="B2"/>
    </sheetView>
  </sheetViews>
  <sheetFormatPr defaultColWidth="9.140625" defaultRowHeight="12.75"/>
  <cols>
    <col min="1" max="1" width="5.85546875" style="119" bestFit="1" customWidth="1"/>
    <col min="2" max="2" width="15.85546875" style="119" customWidth="1"/>
    <col min="3" max="3" width="18.7109375" style="119" customWidth="1"/>
    <col min="4" max="4" width="22" style="119" customWidth="1"/>
    <col min="5" max="5" width="42.85546875" style="119" customWidth="1"/>
    <col min="6" max="6" width="8.85546875" style="119" customWidth="1"/>
    <col min="7" max="7" width="11.5703125" style="119" customWidth="1"/>
    <col min="8" max="8" width="17" style="119" customWidth="1"/>
    <col min="9" max="9" width="15.42578125" style="119" customWidth="1"/>
    <col min="10" max="10" width="11.42578125" style="119" bestFit="1" customWidth="1"/>
    <col min="11" max="11" width="12.5703125" style="119" bestFit="1" customWidth="1"/>
    <col min="12" max="12" width="13" style="119" customWidth="1"/>
    <col min="13" max="13" width="13.140625" style="119" customWidth="1"/>
    <col min="14" max="16384" width="9.140625" style="119"/>
  </cols>
  <sheetData>
    <row r="1" spans="1:13" ht="13.5" customHeight="1">
      <c r="A1" s="152" t="s">
        <v>0</v>
      </c>
      <c r="B1" s="152" t="s">
        <v>503</v>
      </c>
      <c r="C1" s="117" t="s">
        <v>1604</v>
      </c>
      <c r="D1" s="117" t="s">
        <v>778</v>
      </c>
      <c r="E1" s="173" t="s">
        <v>67</v>
      </c>
      <c r="F1" s="173" t="s">
        <v>3</v>
      </c>
      <c r="G1" s="117" t="s">
        <v>1582</v>
      </c>
      <c r="H1" s="152" t="s">
        <v>1583</v>
      </c>
      <c r="I1" s="152" t="s">
        <v>1584</v>
      </c>
      <c r="J1" s="119" t="s">
        <v>1250</v>
      </c>
      <c r="K1" s="119" t="s">
        <v>1954</v>
      </c>
      <c r="L1" s="119" t="s">
        <v>1950</v>
      </c>
    </row>
    <row r="2" spans="1:13" ht="114.75">
      <c r="A2" s="21">
        <v>1</v>
      </c>
      <c r="B2" s="21">
        <v>3000118275</v>
      </c>
      <c r="C2" s="10" t="s">
        <v>1869</v>
      </c>
      <c r="D2" s="121" t="s">
        <v>1870</v>
      </c>
      <c r="E2" s="121" t="s">
        <v>1871</v>
      </c>
      <c r="F2" s="203" t="s">
        <v>1872</v>
      </c>
      <c r="G2" s="10">
        <v>1</v>
      </c>
      <c r="H2" s="204">
        <f>90*1.3*J2</f>
        <v>376740</v>
      </c>
      <c r="I2" s="204">
        <f>H2*G2</f>
        <v>376740</v>
      </c>
      <c r="J2" s="187">
        <v>3220</v>
      </c>
      <c r="K2" s="187">
        <v>3220</v>
      </c>
      <c r="L2" s="188">
        <v>197000</v>
      </c>
    </row>
    <row r="3" spans="1:13">
      <c r="A3" s="21">
        <f t="shared" ref="A3:A5" si="0">ROW()-1</f>
        <v>2</v>
      </c>
      <c r="B3" s="21"/>
      <c r="C3" s="417" t="s">
        <v>76</v>
      </c>
      <c r="D3" s="417"/>
      <c r="E3" s="417"/>
      <c r="F3" s="417"/>
      <c r="G3" s="417"/>
      <c r="H3" s="417"/>
      <c r="I3" s="185">
        <f>SUM(I2:I2)</f>
        <v>376740</v>
      </c>
      <c r="J3" s="188"/>
      <c r="K3" s="188"/>
      <c r="L3" s="188"/>
      <c r="M3" s="188"/>
    </row>
    <row r="4" spans="1:13">
      <c r="A4" s="21">
        <f t="shared" si="0"/>
        <v>3</v>
      </c>
      <c r="B4" s="21"/>
      <c r="C4" s="417" t="s">
        <v>1637</v>
      </c>
      <c r="D4" s="417"/>
      <c r="E4" s="417"/>
      <c r="F4" s="417"/>
      <c r="G4" s="417"/>
      <c r="H4" s="417"/>
      <c r="I4" s="185">
        <f>I3*18%</f>
        <v>67813.2</v>
      </c>
      <c r="K4" s="188"/>
      <c r="L4" s="188"/>
      <c r="M4" s="188"/>
    </row>
    <row r="5" spans="1:13">
      <c r="A5" s="21">
        <f t="shared" si="0"/>
        <v>4</v>
      </c>
      <c r="B5" s="21"/>
      <c r="C5" s="417" t="s">
        <v>742</v>
      </c>
      <c r="D5" s="417"/>
      <c r="E5" s="417"/>
      <c r="F5" s="417"/>
      <c r="G5" s="417"/>
      <c r="H5" s="417"/>
      <c r="I5" s="185">
        <f>SUM(I3:I4)</f>
        <v>444553.2</v>
      </c>
      <c r="K5" s="188"/>
      <c r="L5" s="188"/>
      <c r="M5" s="188"/>
    </row>
    <row r="6" spans="1:13">
      <c r="A6" s="418"/>
      <c r="B6" s="419"/>
      <c r="C6" s="419"/>
      <c r="D6" s="419"/>
      <c r="E6" s="419"/>
      <c r="F6" s="419"/>
      <c r="G6" s="419"/>
      <c r="H6" s="419"/>
      <c r="I6" s="420"/>
    </row>
    <row r="7" spans="1:13" ht="140.25" customHeight="1">
      <c r="A7" s="128" t="s">
        <v>80</v>
      </c>
      <c r="B7" s="360" t="s">
        <v>1765</v>
      </c>
      <c r="C7" s="360"/>
      <c r="D7" s="360"/>
      <c r="E7" s="360"/>
      <c r="F7" s="360"/>
      <c r="G7" s="360"/>
      <c r="H7" s="360"/>
      <c r="I7" s="361"/>
    </row>
  </sheetData>
  <mergeCells count="5">
    <mergeCell ref="C3:H3"/>
    <mergeCell ref="C4:H4"/>
    <mergeCell ref="C5:H5"/>
    <mergeCell ref="A6:I6"/>
    <mergeCell ref="B7:I7"/>
  </mergeCells>
  <printOptions horizontalCentered="1"/>
  <pageMargins left="0.31496062992125984" right="0.31496062992125984" top="0.55118110236220474" bottom="0.55118110236220474" header="0.31496062992125984" footer="0.31496062992125984"/>
  <pageSetup orientation="landscape" horizontalDpi="4294967292" r:id="rId1"/>
  <headerFooter>
    <oddFooter>Page &amp;P of &amp;N</oddFooter>
  </headerFooter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3B4CE-BFB6-42A4-956F-6D19367E2498}">
  <dimension ref="A1:M10"/>
  <sheetViews>
    <sheetView topLeftCell="A3" zoomScaleNormal="100" workbookViewId="0">
      <selection activeCell="D1" sqref="D1:E5"/>
    </sheetView>
  </sheetViews>
  <sheetFormatPr defaultColWidth="9.140625" defaultRowHeight="12.75"/>
  <cols>
    <col min="1" max="1" width="5.85546875" style="119" bestFit="1" customWidth="1"/>
    <col min="2" max="2" width="15.85546875" style="119" customWidth="1"/>
    <col min="3" max="3" width="18.7109375" style="119" customWidth="1"/>
    <col min="4" max="4" width="22" style="119" customWidth="1"/>
    <col min="5" max="5" width="42.85546875" style="119" customWidth="1"/>
    <col min="6" max="6" width="8.85546875" style="119" customWidth="1"/>
    <col min="7" max="7" width="11.5703125" style="119" customWidth="1"/>
    <col min="8" max="8" width="17" style="119" customWidth="1"/>
    <col min="9" max="9" width="15.42578125" style="119" customWidth="1"/>
    <col min="10" max="10" width="11.42578125" style="119" bestFit="1" customWidth="1"/>
    <col min="11" max="11" width="12.5703125" style="119" bestFit="1" customWidth="1"/>
    <col min="12" max="12" width="13" style="119" customWidth="1"/>
    <col min="13" max="13" width="13.140625" style="119" customWidth="1"/>
    <col min="14" max="16384" width="9.140625" style="119"/>
  </cols>
  <sheetData>
    <row r="1" spans="1:13" ht="13.5" customHeight="1">
      <c r="A1" s="152" t="s">
        <v>0</v>
      </c>
      <c r="B1" s="152" t="s">
        <v>503</v>
      </c>
      <c r="C1" s="117" t="s">
        <v>1604</v>
      </c>
      <c r="D1" s="117" t="s">
        <v>778</v>
      </c>
      <c r="E1" s="173" t="s">
        <v>67</v>
      </c>
      <c r="F1" s="173" t="s">
        <v>3</v>
      </c>
      <c r="G1" s="117" t="s">
        <v>1582</v>
      </c>
      <c r="H1" s="152" t="s">
        <v>1583</v>
      </c>
      <c r="I1" s="152" t="s">
        <v>1584</v>
      </c>
      <c r="J1" s="119" t="s">
        <v>1250</v>
      </c>
      <c r="K1" s="119" t="s">
        <v>1867</v>
      </c>
      <c r="L1" s="119" t="s">
        <v>1868</v>
      </c>
    </row>
    <row r="2" spans="1:13" s="233" customFormat="1" ht="89.25">
      <c r="A2" s="21">
        <f>ROW()-1</f>
        <v>1</v>
      </c>
      <c r="B2" s="21" t="s">
        <v>565</v>
      </c>
      <c r="C2" s="10" t="s">
        <v>1873</v>
      </c>
      <c r="D2" s="10" t="s">
        <v>1874</v>
      </c>
      <c r="E2" s="121" t="s">
        <v>1875</v>
      </c>
      <c r="F2" s="10" t="s">
        <v>1182</v>
      </c>
      <c r="G2" s="10">
        <v>2</v>
      </c>
      <c r="H2" s="21"/>
      <c r="I2" s="21"/>
    </row>
    <row r="3" spans="1:13" s="234" customFormat="1" ht="89.25">
      <c r="A3" s="21">
        <f t="shared" ref="A3:A8" si="0">ROW()-1</f>
        <v>2</v>
      </c>
      <c r="B3" s="21" t="s">
        <v>565</v>
      </c>
      <c r="C3" s="10" t="s">
        <v>1876</v>
      </c>
      <c r="D3" s="10" t="s">
        <v>1877</v>
      </c>
      <c r="E3" s="121" t="s">
        <v>1878</v>
      </c>
      <c r="F3" s="10" t="s">
        <v>221</v>
      </c>
      <c r="G3" s="10">
        <v>1</v>
      </c>
      <c r="H3" s="21"/>
      <c r="I3" s="21"/>
    </row>
    <row r="4" spans="1:13" s="234" customFormat="1" ht="140.25">
      <c r="A4" s="21">
        <f t="shared" si="0"/>
        <v>3</v>
      </c>
      <c r="B4" s="21" t="s">
        <v>565</v>
      </c>
      <c r="C4" s="10" t="s">
        <v>1879</v>
      </c>
      <c r="D4" s="10" t="s">
        <v>1880</v>
      </c>
      <c r="E4" s="121" t="s">
        <v>1881</v>
      </c>
      <c r="F4" s="10" t="s">
        <v>121</v>
      </c>
      <c r="G4" s="10">
        <v>12</v>
      </c>
      <c r="H4" s="21"/>
      <c r="I4" s="21"/>
    </row>
    <row r="5" spans="1:13" s="234" customFormat="1" ht="89.25">
      <c r="A5" s="21">
        <f t="shared" si="0"/>
        <v>4</v>
      </c>
      <c r="B5" s="21" t="s">
        <v>565</v>
      </c>
      <c r="C5" s="10" t="s">
        <v>1882</v>
      </c>
      <c r="D5" s="121" t="s">
        <v>1883</v>
      </c>
      <c r="E5" s="121" t="s">
        <v>1884</v>
      </c>
      <c r="F5" s="10" t="s">
        <v>121</v>
      </c>
      <c r="G5" s="10">
        <v>16</v>
      </c>
      <c r="H5" s="204">
        <f>J5</f>
        <v>0</v>
      </c>
      <c r="I5" s="204">
        <f>H5*G5</f>
        <v>0</v>
      </c>
      <c r="J5" s="235"/>
      <c r="K5" s="235"/>
      <c r="L5" s="235"/>
    </row>
    <row r="6" spans="1:13">
      <c r="A6" s="21">
        <f t="shared" si="0"/>
        <v>5</v>
      </c>
      <c r="B6" s="21"/>
      <c r="C6" s="417" t="s">
        <v>76</v>
      </c>
      <c r="D6" s="417"/>
      <c r="E6" s="417"/>
      <c r="F6" s="417"/>
      <c r="G6" s="417"/>
      <c r="H6" s="417"/>
      <c r="I6" s="185">
        <f>SUM(I5:I5)</f>
        <v>0</v>
      </c>
      <c r="J6" s="188"/>
      <c r="K6" s="188"/>
      <c r="L6" s="188"/>
      <c r="M6" s="188"/>
    </row>
    <row r="7" spans="1:13">
      <c r="A7" s="21">
        <f t="shared" si="0"/>
        <v>6</v>
      </c>
      <c r="B7" s="21"/>
      <c r="C7" s="417" t="s">
        <v>1637</v>
      </c>
      <c r="D7" s="417"/>
      <c r="E7" s="417"/>
      <c r="F7" s="417"/>
      <c r="G7" s="417"/>
      <c r="H7" s="417"/>
      <c r="I7" s="185">
        <f>I6*18%</f>
        <v>0</v>
      </c>
      <c r="K7" s="188"/>
      <c r="L7" s="188"/>
      <c r="M7" s="188"/>
    </row>
    <row r="8" spans="1:13">
      <c r="A8" s="21">
        <f t="shared" si="0"/>
        <v>7</v>
      </c>
      <c r="B8" s="21"/>
      <c r="C8" s="417" t="s">
        <v>742</v>
      </c>
      <c r="D8" s="417"/>
      <c r="E8" s="417"/>
      <c r="F8" s="417"/>
      <c r="G8" s="417"/>
      <c r="H8" s="417"/>
      <c r="I8" s="185">
        <f>SUM(I6:I7)</f>
        <v>0</v>
      </c>
      <c r="K8" s="188"/>
      <c r="L8" s="188"/>
      <c r="M8" s="188"/>
    </row>
    <row r="9" spans="1:13">
      <c r="A9" s="418"/>
      <c r="B9" s="419"/>
      <c r="C9" s="419"/>
      <c r="D9" s="419"/>
      <c r="E9" s="419"/>
      <c r="F9" s="419"/>
      <c r="G9" s="419"/>
      <c r="H9" s="419"/>
      <c r="I9" s="420"/>
    </row>
    <row r="10" spans="1:13" ht="140.25" customHeight="1">
      <c r="A10" s="128" t="s">
        <v>80</v>
      </c>
      <c r="B10" s="360" t="s">
        <v>1765</v>
      </c>
      <c r="C10" s="360"/>
      <c r="D10" s="360"/>
      <c r="E10" s="360"/>
      <c r="F10" s="360"/>
      <c r="G10" s="360"/>
      <c r="H10" s="360"/>
      <c r="I10" s="361"/>
    </row>
  </sheetData>
  <mergeCells count="5">
    <mergeCell ref="C6:H6"/>
    <mergeCell ref="C7:H7"/>
    <mergeCell ref="C8:H8"/>
    <mergeCell ref="A9:I9"/>
    <mergeCell ref="B10:I10"/>
  </mergeCells>
  <printOptions horizontalCentered="1"/>
  <pageMargins left="0.31496062992125984" right="0.31496062992125984" top="0.55118110236220474" bottom="0.55118110236220474" header="0.31496062992125984" footer="0.31496062992125984"/>
  <pageSetup orientation="landscape" horizontalDpi="4294967292" r:id="rId1"/>
  <headerFooter>
    <oddFooter>Page &amp;P of &amp;N</oddFooter>
  </headerFooter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6C421-0BCA-44D6-BB91-3A71537B2F76}">
  <dimension ref="A1:M8"/>
  <sheetViews>
    <sheetView zoomScaleNormal="100" workbookViewId="0">
      <selection activeCell="E2" sqref="E2:E3"/>
    </sheetView>
  </sheetViews>
  <sheetFormatPr defaultColWidth="9.140625" defaultRowHeight="12.75"/>
  <cols>
    <col min="1" max="1" width="5.85546875" style="119" bestFit="1" customWidth="1"/>
    <col min="2" max="2" width="11" style="119" bestFit="1" customWidth="1"/>
    <col min="3" max="3" width="16.5703125" style="119" bestFit="1" customWidth="1"/>
    <col min="4" max="4" width="21.42578125" style="119" bestFit="1" customWidth="1"/>
    <col min="5" max="5" width="57" style="119" bestFit="1" customWidth="1"/>
    <col min="6" max="6" width="8.85546875" style="119" customWidth="1"/>
    <col min="7" max="7" width="11.5703125" style="119" customWidth="1"/>
    <col min="8" max="8" width="17" style="119" customWidth="1"/>
    <col min="9" max="9" width="15.42578125" style="119" customWidth="1"/>
    <col min="10" max="10" width="11.42578125" style="119" bestFit="1" customWidth="1"/>
    <col min="11" max="11" width="12.5703125" style="119" bestFit="1" customWidth="1"/>
    <col min="12" max="12" width="13" style="119" customWidth="1"/>
    <col min="13" max="13" width="13.140625" style="119" customWidth="1"/>
    <col min="14" max="16384" width="9.140625" style="119"/>
  </cols>
  <sheetData>
    <row r="1" spans="1:13" ht="13.5" customHeight="1">
      <c r="A1" s="152" t="s">
        <v>0</v>
      </c>
      <c r="B1" s="152" t="s">
        <v>503</v>
      </c>
      <c r="C1" s="117" t="s">
        <v>1604</v>
      </c>
      <c r="D1" s="117" t="s">
        <v>778</v>
      </c>
      <c r="E1" s="173" t="s">
        <v>67</v>
      </c>
      <c r="F1" s="173" t="s">
        <v>3</v>
      </c>
      <c r="G1" s="117" t="s">
        <v>1582</v>
      </c>
      <c r="H1" s="152" t="s">
        <v>1583</v>
      </c>
      <c r="I1" s="152" t="s">
        <v>1584</v>
      </c>
      <c r="J1" s="119" t="s">
        <v>1250</v>
      </c>
      <c r="K1" s="119" t="s">
        <v>1867</v>
      </c>
      <c r="L1" s="119" t="s">
        <v>1868</v>
      </c>
    </row>
    <row r="2" spans="1:13" ht="76.5">
      <c r="A2" s="236">
        <v>1</v>
      </c>
      <c r="B2" s="236">
        <v>5000006353</v>
      </c>
      <c r="C2" s="203" t="s">
        <v>1888</v>
      </c>
      <c r="D2" s="203" t="s">
        <v>1886</v>
      </c>
      <c r="E2" s="121" t="s">
        <v>1890</v>
      </c>
      <c r="F2" s="203" t="s">
        <v>1614</v>
      </c>
      <c r="G2" s="203">
        <v>1</v>
      </c>
      <c r="H2" s="236">
        <f>90*1.3*J2</f>
        <v>0</v>
      </c>
      <c r="I2" s="236">
        <f>H2*G2</f>
        <v>0</v>
      </c>
    </row>
    <row r="3" spans="1:13" ht="76.5">
      <c r="A3" s="236">
        <v>2</v>
      </c>
      <c r="B3" s="236">
        <v>5000006353</v>
      </c>
      <c r="C3" s="203" t="s">
        <v>1889</v>
      </c>
      <c r="D3" s="203" t="s">
        <v>1887</v>
      </c>
      <c r="E3" s="121" t="s">
        <v>1891</v>
      </c>
      <c r="F3" s="203" t="s">
        <v>1614</v>
      </c>
      <c r="G3" s="203">
        <v>1</v>
      </c>
      <c r="H3" s="236">
        <f>90*1.3*J3</f>
        <v>0</v>
      </c>
      <c r="I3" s="236">
        <f>H3*G3</f>
        <v>0</v>
      </c>
    </row>
    <row r="4" spans="1:13">
      <c r="A4" s="21">
        <f t="shared" ref="A4:A6" si="0">ROW()-1</f>
        <v>3</v>
      </c>
      <c r="B4" s="21"/>
      <c r="C4" s="417" t="s">
        <v>76</v>
      </c>
      <c r="D4" s="417"/>
      <c r="E4" s="417"/>
      <c r="F4" s="417"/>
      <c r="G4" s="417"/>
      <c r="H4" s="417"/>
      <c r="I4" s="185">
        <f>SUM(I2:I3)</f>
        <v>0</v>
      </c>
      <c r="J4" s="188"/>
      <c r="K4" s="188"/>
      <c r="L4" s="188"/>
      <c r="M4" s="188"/>
    </row>
    <row r="5" spans="1:13">
      <c r="A5" s="21">
        <f t="shared" si="0"/>
        <v>4</v>
      </c>
      <c r="B5" s="21"/>
      <c r="C5" s="417" t="s">
        <v>1637</v>
      </c>
      <c r="D5" s="417"/>
      <c r="E5" s="417"/>
      <c r="F5" s="417"/>
      <c r="G5" s="417"/>
      <c r="H5" s="417"/>
      <c r="I5" s="185">
        <f>I4*18%</f>
        <v>0</v>
      </c>
      <c r="K5" s="188"/>
      <c r="L5" s="188"/>
      <c r="M5" s="188"/>
    </row>
    <row r="6" spans="1:13">
      <c r="A6" s="21">
        <f t="shared" si="0"/>
        <v>5</v>
      </c>
      <c r="B6" s="21"/>
      <c r="C6" s="417" t="s">
        <v>742</v>
      </c>
      <c r="D6" s="417"/>
      <c r="E6" s="417"/>
      <c r="F6" s="417"/>
      <c r="G6" s="417"/>
      <c r="H6" s="417"/>
      <c r="I6" s="185">
        <f>SUM(I4:I5)</f>
        <v>0</v>
      </c>
      <c r="K6" s="188"/>
      <c r="L6" s="188"/>
      <c r="M6" s="188"/>
    </row>
    <row r="7" spans="1:13">
      <c r="A7" s="418"/>
      <c r="B7" s="419"/>
      <c r="C7" s="419"/>
      <c r="D7" s="419"/>
      <c r="E7" s="419"/>
      <c r="F7" s="419"/>
      <c r="G7" s="419"/>
      <c r="H7" s="419"/>
      <c r="I7" s="420"/>
    </row>
    <row r="8" spans="1:13" ht="140.25" customHeight="1">
      <c r="A8" s="128" t="s">
        <v>80</v>
      </c>
      <c r="B8" s="360" t="s">
        <v>1765</v>
      </c>
      <c r="C8" s="360"/>
      <c r="D8" s="360"/>
      <c r="E8" s="360"/>
      <c r="F8" s="360"/>
      <c r="G8" s="360"/>
      <c r="H8" s="360"/>
      <c r="I8" s="361"/>
    </row>
  </sheetData>
  <mergeCells count="5">
    <mergeCell ref="C4:H4"/>
    <mergeCell ref="C5:H5"/>
    <mergeCell ref="C6:H6"/>
    <mergeCell ref="A7:I7"/>
    <mergeCell ref="B8:I8"/>
  </mergeCells>
  <printOptions horizontalCentered="1"/>
  <pageMargins left="0.31496062992125984" right="0.31496062992125984" top="0.55118110236220474" bottom="0.55118110236220474" header="0.31496062992125984" footer="0.31496062992125984"/>
  <pageSetup orientation="landscape" horizontalDpi="4294967292" r:id="rId1"/>
  <headerFooter>
    <oddFooter>Page &amp;P of &amp;N</oddFooter>
  </headerFooter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F5FAA-F6F9-4CC1-B112-0DF4412CA344}">
  <dimension ref="A1:AA25"/>
  <sheetViews>
    <sheetView topLeftCell="C4" zoomScaleNormal="100" workbookViewId="0">
      <selection activeCell="D8" sqref="D8"/>
    </sheetView>
  </sheetViews>
  <sheetFormatPr defaultColWidth="9.140625" defaultRowHeight="12.75"/>
  <cols>
    <col min="1" max="1" width="5.85546875" style="119" bestFit="1" customWidth="1"/>
    <col min="2" max="2" width="11" style="119" bestFit="1" customWidth="1"/>
    <col min="3" max="3" width="17.7109375" style="119" bestFit="1" customWidth="1"/>
    <col min="4" max="4" width="36.85546875" style="119" bestFit="1" customWidth="1"/>
    <col min="5" max="5" width="57" style="119" bestFit="1" customWidth="1"/>
    <col min="6" max="6" width="8.85546875" style="119" customWidth="1"/>
    <col min="7" max="7" width="11.5703125" style="119" customWidth="1"/>
    <col min="8" max="8" width="17" style="119" hidden="1" customWidth="1"/>
    <col min="9" max="9" width="15.42578125" style="119" hidden="1" customWidth="1"/>
    <col min="10" max="10" width="12.5703125" style="119" hidden="1" customWidth="1"/>
    <col min="11" max="11" width="13.7109375" style="119" bestFit="1" customWidth="1"/>
    <col min="12" max="12" width="13.7109375" style="119" hidden="1" customWidth="1"/>
    <col min="13" max="14" width="16.85546875" style="119" hidden="1" customWidth="1"/>
    <col min="15" max="15" width="34.5703125" style="119" hidden="1" customWidth="1"/>
    <col min="16" max="16" width="13.140625" style="119" hidden="1" customWidth="1"/>
    <col min="17" max="17" width="9.85546875" style="119" hidden="1" customWidth="1"/>
    <col min="18" max="18" width="10.85546875" style="119" hidden="1" customWidth="1"/>
    <col min="19" max="19" width="10.85546875" style="119" bestFit="1" customWidth="1"/>
    <col min="20" max="20" width="12.5703125" style="119" hidden="1" customWidth="1"/>
    <col min="21" max="21" width="15.28515625" style="119" hidden="1" customWidth="1"/>
    <col min="22" max="23" width="0" style="119" hidden="1" customWidth="1"/>
    <col min="24" max="24" width="12.5703125" style="119" hidden="1" customWidth="1"/>
    <col min="25" max="25" width="13.7109375" style="119" hidden="1" customWidth="1"/>
    <col min="26" max="26" width="9.85546875" style="119" hidden="1" customWidth="1"/>
    <col min="27" max="27" width="13.7109375" style="119" hidden="1" customWidth="1"/>
    <col min="28" max="16384" width="9.140625" style="119"/>
  </cols>
  <sheetData>
    <row r="1" spans="1:27" ht="13.5" customHeight="1">
      <c r="A1" s="152" t="s">
        <v>0</v>
      </c>
      <c r="B1" s="152" t="s">
        <v>503</v>
      </c>
      <c r="C1" s="117" t="s">
        <v>1604</v>
      </c>
      <c r="D1" s="117" t="s">
        <v>778</v>
      </c>
      <c r="E1" s="173" t="s">
        <v>67</v>
      </c>
      <c r="F1" s="173" t="s">
        <v>3</v>
      </c>
      <c r="G1" s="117" t="s">
        <v>1582</v>
      </c>
      <c r="H1" s="152" t="s">
        <v>1583</v>
      </c>
      <c r="I1" s="152" t="s">
        <v>1584</v>
      </c>
      <c r="J1" s="119" t="s">
        <v>1250</v>
      </c>
      <c r="K1" s="119" t="s">
        <v>145</v>
      </c>
      <c r="M1" s="119" t="s">
        <v>2005</v>
      </c>
      <c r="N1" s="119" t="s">
        <v>2006</v>
      </c>
      <c r="P1" s="119" t="s">
        <v>1956</v>
      </c>
      <c r="Q1" s="119" t="s">
        <v>1957</v>
      </c>
      <c r="S1" s="421" t="s">
        <v>1960</v>
      </c>
      <c r="T1" s="421"/>
      <c r="U1" s="119" t="s">
        <v>2004</v>
      </c>
      <c r="X1" s="119" t="s">
        <v>1583</v>
      </c>
      <c r="Y1" s="119" t="s">
        <v>1584</v>
      </c>
      <c r="Z1" s="119" t="s">
        <v>1250</v>
      </c>
      <c r="AA1" s="119" t="s">
        <v>145</v>
      </c>
    </row>
    <row r="2" spans="1:27" ht="51">
      <c r="A2" s="236">
        <f>ROW()-1</f>
        <v>1</v>
      </c>
      <c r="B2" s="236">
        <v>3000120357</v>
      </c>
      <c r="C2" s="203" t="s">
        <v>1892</v>
      </c>
      <c r="D2" s="237" t="s">
        <v>1911</v>
      </c>
      <c r="E2" s="121" t="s">
        <v>1931</v>
      </c>
      <c r="F2" s="203" t="s">
        <v>121</v>
      </c>
      <c r="G2" s="203" t="s">
        <v>1273</v>
      </c>
      <c r="H2" s="240">
        <f>J2</f>
        <v>169111.0327691295</v>
      </c>
      <c r="I2" s="240">
        <f>H2*G2</f>
        <v>169111.0327691295</v>
      </c>
      <c r="J2" s="188">
        <v>169111.0327691295</v>
      </c>
      <c r="K2" s="187">
        <v>1542</v>
      </c>
      <c r="L2" s="212">
        <f>I2/$I$21</f>
        <v>0.13481427994988002</v>
      </c>
      <c r="M2" s="245">
        <f>L2*$K$21</f>
        <v>169111.0327691295</v>
      </c>
      <c r="N2" s="245">
        <f>M2/G2</f>
        <v>169111.0327691295</v>
      </c>
      <c r="O2" s="234" t="s">
        <v>1955</v>
      </c>
      <c r="P2" s="187">
        <f>K2*G2</f>
        <v>1542</v>
      </c>
      <c r="Q2" s="187">
        <f>(K2*0.03)+K2</f>
        <v>1588.26</v>
      </c>
      <c r="R2" s="187">
        <f>Q2*G2</f>
        <v>1588.26</v>
      </c>
      <c r="S2" s="187">
        <v>1188</v>
      </c>
      <c r="T2" s="188">
        <f>S2*90*1.3</f>
        <v>138996</v>
      </c>
      <c r="U2" s="188">
        <f>T2*G2</f>
        <v>138996</v>
      </c>
      <c r="X2" s="188">
        <v>185679</v>
      </c>
      <c r="Y2" s="188">
        <v>185679</v>
      </c>
      <c r="Z2" s="187">
        <v>1587</v>
      </c>
      <c r="AA2" s="187">
        <v>1542</v>
      </c>
    </row>
    <row r="3" spans="1:27" ht="51">
      <c r="A3" s="236">
        <f t="shared" ref="A3:A23" si="0">ROW()-1</f>
        <v>2</v>
      </c>
      <c r="B3" s="236">
        <v>3000120357</v>
      </c>
      <c r="C3" s="203" t="s">
        <v>1893</v>
      </c>
      <c r="D3" s="237" t="s">
        <v>1912</v>
      </c>
      <c r="E3" s="121" t="s">
        <v>1932</v>
      </c>
      <c r="F3" s="203" t="s">
        <v>121</v>
      </c>
      <c r="G3" s="203" t="s">
        <v>1272</v>
      </c>
      <c r="H3" s="240">
        <f t="shared" ref="H3:H20" si="1">J3</f>
        <v>24189.164737613355</v>
      </c>
      <c r="I3" s="240">
        <f t="shared" ref="I3:I20" si="2">H3*G3</f>
        <v>48378.32947522671</v>
      </c>
      <c r="J3" s="188">
        <v>24189.164737613355</v>
      </c>
      <c r="K3" s="187">
        <v>220</v>
      </c>
      <c r="L3" s="212">
        <f t="shared" ref="L3:L20" si="3">I3/$I$21</f>
        <v>3.8566908063796805E-2</v>
      </c>
      <c r="M3" s="245">
        <f t="shared" ref="M3:M20" si="4">L3*$K$21</f>
        <v>48378.32947522671</v>
      </c>
      <c r="N3" s="245">
        <f t="shared" ref="N3:N20" si="5">M3/G3</f>
        <v>24189.164737613355</v>
      </c>
      <c r="P3" s="187">
        <f t="shared" ref="P3:P20" si="6">K3*G3</f>
        <v>440</v>
      </c>
      <c r="Q3" s="187">
        <f t="shared" ref="Q3:Q21" si="7">(K3*0.03)+K3</f>
        <v>226.6</v>
      </c>
      <c r="R3" s="187">
        <f t="shared" ref="R3:R20" si="8">Q3*G3</f>
        <v>453.2</v>
      </c>
      <c r="S3" s="187">
        <v>123</v>
      </c>
      <c r="T3" s="188">
        <f t="shared" ref="T3:T20" si="9">S3*90*1.3</f>
        <v>14391</v>
      </c>
      <c r="U3" s="188">
        <f t="shared" ref="U3:U20" si="10">T3*G3</f>
        <v>28782</v>
      </c>
      <c r="X3" s="188">
        <v>26559</v>
      </c>
      <c r="Y3" s="188">
        <v>53118</v>
      </c>
      <c r="Z3" s="187">
        <v>227</v>
      </c>
      <c r="AA3" s="187">
        <v>220</v>
      </c>
    </row>
    <row r="4" spans="1:27" ht="63.75">
      <c r="A4" s="236">
        <f t="shared" si="0"/>
        <v>3</v>
      </c>
      <c r="B4" s="236">
        <v>3000120357</v>
      </c>
      <c r="C4" s="203" t="s">
        <v>1894</v>
      </c>
      <c r="D4" s="237" t="s">
        <v>1913</v>
      </c>
      <c r="E4" s="121" t="s">
        <v>1933</v>
      </c>
      <c r="F4" s="203" t="s">
        <v>121</v>
      </c>
      <c r="G4" s="203" t="s">
        <v>1272</v>
      </c>
      <c r="H4" s="240">
        <f t="shared" si="1"/>
        <v>20033.317051415466</v>
      </c>
      <c r="I4" s="240">
        <f t="shared" si="2"/>
        <v>40066.634102830933</v>
      </c>
      <c r="J4" s="188">
        <v>20033.317051415466</v>
      </c>
      <c r="K4" s="187">
        <v>182</v>
      </c>
      <c r="L4" s="212">
        <f t="shared" si="3"/>
        <v>3.194087540085374E-2</v>
      </c>
      <c r="M4" s="245">
        <f t="shared" si="4"/>
        <v>40066.634102830933</v>
      </c>
      <c r="N4" s="245">
        <f t="shared" si="5"/>
        <v>20033.317051415466</v>
      </c>
      <c r="P4" s="187">
        <f t="shared" si="6"/>
        <v>364</v>
      </c>
      <c r="Q4" s="187">
        <f t="shared" si="7"/>
        <v>187.46</v>
      </c>
      <c r="R4" s="187">
        <f t="shared" si="8"/>
        <v>374.92</v>
      </c>
      <c r="S4" s="187">
        <v>348</v>
      </c>
      <c r="T4" s="188">
        <f t="shared" si="9"/>
        <v>40716</v>
      </c>
      <c r="U4" s="188">
        <f t="shared" si="10"/>
        <v>81432</v>
      </c>
      <c r="X4" s="188">
        <v>21996</v>
      </c>
      <c r="Y4" s="188">
        <v>43992</v>
      </c>
      <c r="Z4" s="187">
        <v>188</v>
      </c>
      <c r="AA4" s="187">
        <v>182</v>
      </c>
    </row>
    <row r="5" spans="1:27" ht="63.75">
      <c r="A5" s="236">
        <f t="shared" si="0"/>
        <v>4</v>
      </c>
      <c r="B5" s="236">
        <v>3000120357</v>
      </c>
      <c r="C5" s="203" t="s">
        <v>1895</v>
      </c>
      <c r="D5" s="237" t="s">
        <v>1914</v>
      </c>
      <c r="E5" s="121" t="s">
        <v>1934</v>
      </c>
      <c r="F5" s="203" t="s">
        <v>121</v>
      </c>
      <c r="G5" s="203" t="s">
        <v>1272</v>
      </c>
      <c r="H5" s="240">
        <f t="shared" si="1"/>
        <v>34632.064051649075</v>
      </c>
      <c r="I5" s="240">
        <f t="shared" si="2"/>
        <v>69264.12810329815</v>
      </c>
      <c r="J5" s="188">
        <v>34632.064051649075</v>
      </c>
      <c r="K5" s="187">
        <v>315</v>
      </c>
      <c r="L5" s="212">
        <f t="shared" si="3"/>
        <v>5.5216938857858854E-2</v>
      </c>
      <c r="M5" s="245">
        <f t="shared" si="4"/>
        <v>69264.12810329815</v>
      </c>
      <c r="N5" s="245">
        <f t="shared" si="5"/>
        <v>34632.064051649075</v>
      </c>
      <c r="P5" s="187">
        <f t="shared" si="6"/>
        <v>630</v>
      </c>
      <c r="Q5" s="187">
        <f t="shared" si="7"/>
        <v>324.45</v>
      </c>
      <c r="R5" s="187">
        <f t="shared" si="8"/>
        <v>648.9</v>
      </c>
      <c r="S5" s="187">
        <v>191</v>
      </c>
      <c r="T5" s="188">
        <f t="shared" si="9"/>
        <v>22347</v>
      </c>
      <c r="U5" s="188">
        <f t="shared" si="10"/>
        <v>44694</v>
      </c>
      <c r="X5" s="188">
        <v>38025</v>
      </c>
      <c r="Y5" s="188">
        <v>76050</v>
      </c>
      <c r="Z5" s="187">
        <v>325</v>
      </c>
      <c r="AA5" s="187">
        <v>315</v>
      </c>
    </row>
    <row r="6" spans="1:27" ht="63.75">
      <c r="A6" s="236">
        <f t="shared" si="0"/>
        <v>5</v>
      </c>
      <c r="B6" s="236">
        <v>3000120357</v>
      </c>
      <c r="C6" s="203" t="s">
        <v>1896</v>
      </c>
      <c r="D6" s="237" t="s">
        <v>1915</v>
      </c>
      <c r="E6" s="121" t="s">
        <v>1935</v>
      </c>
      <c r="F6" s="203" t="s">
        <v>121</v>
      </c>
      <c r="G6" s="203" t="s">
        <v>1272</v>
      </c>
      <c r="H6" s="240">
        <f t="shared" si="1"/>
        <v>34951.744642895064</v>
      </c>
      <c r="I6" s="240">
        <f t="shared" si="2"/>
        <v>69903.489285790129</v>
      </c>
      <c r="J6" s="188">
        <v>34951.744642895064</v>
      </c>
      <c r="K6" s="187">
        <v>318</v>
      </c>
      <c r="L6" s="212">
        <f t="shared" si="3"/>
        <v>5.5726633678085245E-2</v>
      </c>
      <c r="M6" s="245">
        <f t="shared" si="4"/>
        <v>69903.489285790129</v>
      </c>
      <c r="N6" s="245">
        <f t="shared" si="5"/>
        <v>34951.744642895064</v>
      </c>
      <c r="P6" s="187">
        <f t="shared" si="6"/>
        <v>636</v>
      </c>
      <c r="Q6" s="187">
        <f t="shared" si="7"/>
        <v>327.54000000000002</v>
      </c>
      <c r="R6" s="187">
        <f t="shared" si="8"/>
        <v>655.08000000000004</v>
      </c>
      <c r="S6" s="187">
        <v>369</v>
      </c>
      <c r="T6" s="188">
        <f t="shared" si="9"/>
        <v>43173</v>
      </c>
      <c r="U6" s="188">
        <f t="shared" si="10"/>
        <v>86346</v>
      </c>
      <c r="X6" s="188">
        <v>38376</v>
      </c>
      <c r="Y6" s="188">
        <v>76752</v>
      </c>
      <c r="Z6" s="187">
        <v>328</v>
      </c>
      <c r="AA6" s="187">
        <v>318</v>
      </c>
    </row>
    <row r="7" spans="1:27" ht="51">
      <c r="A7" s="236">
        <f t="shared" si="0"/>
        <v>6</v>
      </c>
      <c r="B7" s="236">
        <v>3000120357</v>
      </c>
      <c r="C7" s="203" t="s">
        <v>1897</v>
      </c>
      <c r="D7" s="237" t="s">
        <v>1916</v>
      </c>
      <c r="E7" s="121" t="s">
        <v>1936</v>
      </c>
      <c r="F7" s="203" t="s">
        <v>121</v>
      </c>
      <c r="G7" s="203" t="s">
        <v>1272</v>
      </c>
      <c r="H7" s="240">
        <f t="shared" si="1"/>
        <v>44861.842971520797</v>
      </c>
      <c r="I7" s="240">
        <f t="shared" si="2"/>
        <v>89723.685943041593</v>
      </c>
      <c r="J7" s="188">
        <v>44861.842971520797</v>
      </c>
      <c r="K7" s="187">
        <v>408</v>
      </c>
      <c r="L7" s="212">
        <f t="shared" si="3"/>
        <v>7.1527173105103314E-2</v>
      </c>
      <c r="M7" s="245">
        <f t="shared" si="4"/>
        <v>89723.685943041593</v>
      </c>
      <c r="N7" s="245">
        <f t="shared" si="5"/>
        <v>44861.842971520797</v>
      </c>
      <c r="P7" s="187">
        <f t="shared" si="6"/>
        <v>816</v>
      </c>
      <c r="Q7" s="187">
        <f t="shared" si="7"/>
        <v>420.24</v>
      </c>
      <c r="R7" s="187">
        <f t="shared" si="8"/>
        <v>840.48</v>
      </c>
      <c r="S7" s="187">
        <v>447</v>
      </c>
      <c r="T7" s="188">
        <f t="shared" si="9"/>
        <v>52299</v>
      </c>
      <c r="U7" s="188">
        <f t="shared" si="10"/>
        <v>104598</v>
      </c>
      <c r="X7" s="188">
        <v>49257</v>
      </c>
      <c r="Y7" s="188">
        <v>98514</v>
      </c>
      <c r="Z7" s="187">
        <v>421</v>
      </c>
      <c r="AA7" s="187">
        <v>408</v>
      </c>
    </row>
    <row r="8" spans="1:27" ht="51">
      <c r="A8" s="236">
        <f t="shared" si="0"/>
        <v>7</v>
      </c>
      <c r="B8" s="236">
        <v>3000120357</v>
      </c>
      <c r="C8" s="203" t="s">
        <v>1898</v>
      </c>
      <c r="D8" s="237" t="s">
        <v>1917</v>
      </c>
      <c r="E8" s="121" t="s">
        <v>1937</v>
      </c>
      <c r="F8" s="203" t="s">
        <v>121</v>
      </c>
      <c r="G8" s="203" t="s">
        <v>1273</v>
      </c>
      <c r="H8" s="240">
        <f t="shared" si="1"/>
        <v>392461.20585299557</v>
      </c>
      <c r="I8" s="240">
        <f t="shared" si="2"/>
        <v>392461.20585299557</v>
      </c>
      <c r="J8" s="188">
        <v>392461.20585299557</v>
      </c>
      <c r="K8" s="187">
        <v>3575</v>
      </c>
      <c r="L8" s="212">
        <f t="shared" si="3"/>
        <v>0.31286767048229874</v>
      </c>
      <c r="M8" s="245">
        <f t="shared" si="4"/>
        <v>392461.20585299557</v>
      </c>
      <c r="N8" s="245">
        <f t="shared" si="5"/>
        <v>392461.20585299557</v>
      </c>
      <c r="P8" s="187">
        <f t="shared" si="6"/>
        <v>3575</v>
      </c>
      <c r="Q8" s="187">
        <f t="shared" si="7"/>
        <v>3682.25</v>
      </c>
      <c r="R8" s="187">
        <f t="shared" si="8"/>
        <v>3682.25</v>
      </c>
      <c r="S8" s="187">
        <v>1345</v>
      </c>
      <c r="T8" s="188">
        <f t="shared" si="9"/>
        <v>157365</v>
      </c>
      <c r="U8" s="188">
        <f t="shared" si="10"/>
        <v>157365</v>
      </c>
      <c r="X8" s="188">
        <v>430911</v>
      </c>
      <c r="Y8" s="188">
        <v>430911</v>
      </c>
      <c r="Z8" s="187">
        <v>3683</v>
      </c>
      <c r="AA8" s="187">
        <v>3575</v>
      </c>
    </row>
    <row r="9" spans="1:27" ht="51">
      <c r="A9" s="236">
        <f t="shared" si="0"/>
        <v>8</v>
      </c>
      <c r="B9" s="236">
        <v>3000120357</v>
      </c>
      <c r="C9" s="203" t="s">
        <v>1899</v>
      </c>
      <c r="D9" s="237" t="s">
        <v>1918</v>
      </c>
      <c r="E9" s="121" t="s">
        <v>1938</v>
      </c>
      <c r="F9" s="203" t="s">
        <v>121</v>
      </c>
      <c r="G9" s="203" t="s">
        <v>1272</v>
      </c>
      <c r="H9" s="240">
        <f t="shared" si="1"/>
        <v>80772.629388153844</v>
      </c>
      <c r="I9" s="240">
        <f t="shared" si="2"/>
        <v>161545.25877630769</v>
      </c>
      <c r="J9" s="188">
        <v>80772.629388153844</v>
      </c>
      <c r="K9" s="187">
        <v>735</v>
      </c>
      <c r="L9" s="212">
        <f t="shared" si="3"/>
        <v>0.12878289124386774</v>
      </c>
      <c r="M9" s="245">
        <f t="shared" si="4"/>
        <v>161545.25877630769</v>
      </c>
      <c r="N9" s="245">
        <f t="shared" si="5"/>
        <v>80772.629388153844</v>
      </c>
      <c r="P9" s="187">
        <f t="shared" si="6"/>
        <v>1470</v>
      </c>
      <c r="Q9" s="187">
        <f t="shared" si="7"/>
        <v>757.05</v>
      </c>
      <c r="R9" s="187">
        <f t="shared" si="8"/>
        <v>1514.1</v>
      </c>
      <c r="S9" s="187">
        <v>375</v>
      </c>
      <c r="T9" s="188">
        <f t="shared" si="9"/>
        <v>43875</v>
      </c>
      <c r="U9" s="188">
        <f t="shared" si="10"/>
        <v>87750</v>
      </c>
      <c r="X9" s="188">
        <v>88686</v>
      </c>
      <c r="Y9" s="188">
        <v>177372</v>
      </c>
      <c r="Z9" s="187">
        <v>758</v>
      </c>
      <c r="AA9" s="187">
        <v>735</v>
      </c>
    </row>
    <row r="10" spans="1:27" ht="51">
      <c r="A10" s="236">
        <f t="shared" si="0"/>
        <v>9</v>
      </c>
      <c r="B10" s="236">
        <v>3000120357</v>
      </c>
      <c r="C10" s="203" t="s">
        <v>1900</v>
      </c>
      <c r="D10" s="237" t="s">
        <v>1919</v>
      </c>
      <c r="E10" s="121" t="s">
        <v>1939</v>
      </c>
      <c r="F10" s="203" t="s">
        <v>121</v>
      </c>
      <c r="G10" s="203" t="s">
        <v>1930</v>
      </c>
      <c r="H10" s="240">
        <f t="shared" si="1"/>
        <v>21312.039416399432</v>
      </c>
      <c r="I10" s="240">
        <f t="shared" si="2"/>
        <v>63936.118249198291</v>
      </c>
      <c r="J10" s="188">
        <v>21312.039416399432</v>
      </c>
      <c r="K10" s="187">
        <v>194</v>
      </c>
      <c r="L10" s="212">
        <f t="shared" si="3"/>
        <v>5.0969482022638943E-2</v>
      </c>
      <c r="M10" s="245">
        <f t="shared" si="4"/>
        <v>63936.118249198291</v>
      </c>
      <c r="N10" s="245">
        <f t="shared" si="5"/>
        <v>21312.039416399432</v>
      </c>
      <c r="P10" s="187">
        <f t="shared" si="6"/>
        <v>582</v>
      </c>
      <c r="Q10" s="187">
        <f t="shared" si="7"/>
        <v>199.82</v>
      </c>
      <c r="R10" s="187">
        <f t="shared" si="8"/>
        <v>599.46</v>
      </c>
      <c r="S10" s="187">
        <v>87</v>
      </c>
      <c r="T10" s="188">
        <f t="shared" si="9"/>
        <v>10179</v>
      </c>
      <c r="U10" s="188">
        <f t="shared" si="10"/>
        <v>30537</v>
      </c>
      <c r="X10" s="188">
        <v>23400</v>
      </c>
      <c r="Y10" s="188">
        <v>70200</v>
      </c>
      <c r="Z10" s="187">
        <v>200</v>
      </c>
      <c r="AA10" s="187">
        <v>194</v>
      </c>
    </row>
    <row r="11" spans="1:27" ht="51">
      <c r="A11" s="236">
        <f t="shared" si="0"/>
        <v>10</v>
      </c>
      <c r="B11" s="236">
        <v>3000120357</v>
      </c>
      <c r="C11" s="203" t="s">
        <v>1901</v>
      </c>
      <c r="D11" s="237" t="s">
        <v>1920</v>
      </c>
      <c r="E11" s="121" t="s">
        <v>1940</v>
      </c>
      <c r="F11" s="203" t="s">
        <v>121</v>
      </c>
      <c r="G11" s="203" t="s">
        <v>1273</v>
      </c>
      <c r="H11" s="240">
        <f t="shared" si="1"/>
        <v>126806.63452757662</v>
      </c>
      <c r="I11" s="240">
        <f t="shared" si="2"/>
        <v>126806.63452757662</v>
      </c>
      <c r="J11" s="188">
        <v>126806.63452757662</v>
      </c>
      <c r="K11" s="187">
        <v>1155</v>
      </c>
      <c r="L11" s="212">
        <f t="shared" si="3"/>
        <v>0.10108947267823391</v>
      </c>
      <c r="M11" s="245">
        <f t="shared" si="4"/>
        <v>126806.63452757662</v>
      </c>
      <c r="N11" s="245">
        <f t="shared" si="5"/>
        <v>126806.63452757662</v>
      </c>
      <c r="P11" s="187">
        <f t="shared" si="6"/>
        <v>1155</v>
      </c>
      <c r="Q11" s="187">
        <f t="shared" si="7"/>
        <v>1189.6500000000001</v>
      </c>
      <c r="R11" s="187">
        <f t="shared" si="8"/>
        <v>1189.6500000000001</v>
      </c>
      <c r="S11" s="187">
        <v>1068</v>
      </c>
      <c r="T11" s="188">
        <f t="shared" si="9"/>
        <v>124956</v>
      </c>
      <c r="U11" s="188">
        <f t="shared" si="10"/>
        <v>124956</v>
      </c>
      <c r="X11" s="188">
        <v>139230</v>
      </c>
      <c r="Y11" s="188">
        <v>139230</v>
      </c>
      <c r="Z11" s="187">
        <v>1190</v>
      </c>
      <c r="AA11" s="187">
        <v>1155</v>
      </c>
    </row>
    <row r="12" spans="1:27" ht="51">
      <c r="A12" s="236">
        <f t="shared" si="0"/>
        <v>11</v>
      </c>
      <c r="B12" s="236">
        <v>3000120357</v>
      </c>
      <c r="C12" s="203" t="s">
        <v>1902</v>
      </c>
      <c r="D12" s="237" t="s">
        <v>1921</v>
      </c>
      <c r="E12" s="121" t="s">
        <v>1941</v>
      </c>
      <c r="F12" s="203" t="s">
        <v>121</v>
      </c>
      <c r="G12" s="203" t="s">
        <v>1381</v>
      </c>
      <c r="H12" s="240">
        <f t="shared" si="1"/>
        <v>159.84029562299571</v>
      </c>
      <c r="I12" s="240">
        <f t="shared" si="2"/>
        <v>639.36118249198285</v>
      </c>
      <c r="J12" s="188">
        <v>159.84029562299571</v>
      </c>
      <c r="K12" s="187">
        <v>1</v>
      </c>
      <c r="L12" s="212">
        <f t="shared" si="3"/>
        <v>5.096948202263894E-4</v>
      </c>
      <c r="M12" s="245">
        <f t="shared" si="4"/>
        <v>639.36118249198285</v>
      </c>
      <c r="N12" s="245">
        <f t="shared" si="5"/>
        <v>159.84029562299571</v>
      </c>
      <c r="P12" s="187">
        <f t="shared" si="6"/>
        <v>4</v>
      </c>
      <c r="Q12" s="187">
        <f t="shared" si="7"/>
        <v>1.03</v>
      </c>
      <c r="R12" s="187">
        <f t="shared" si="8"/>
        <v>4.12</v>
      </c>
      <c r="S12" s="187">
        <v>1.7</v>
      </c>
      <c r="T12" s="188">
        <f t="shared" si="9"/>
        <v>198.9</v>
      </c>
      <c r="U12" s="188">
        <f t="shared" si="10"/>
        <v>795.6</v>
      </c>
      <c r="X12" s="188">
        <v>175.5</v>
      </c>
      <c r="Y12" s="188">
        <v>702</v>
      </c>
      <c r="Z12" s="187">
        <v>1.5</v>
      </c>
      <c r="AA12" s="187">
        <v>1</v>
      </c>
    </row>
    <row r="13" spans="1:27" ht="51">
      <c r="A13" s="236">
        <f t="shared" si="0"/>
        <v>12</v>
      </c>
      <c r="B13" s="236">
        <v>3000120357</v>
      </c>
      <c r="C13" s="203" t="s">
        <v>1903</v>
      </c>
      <c r="D13" s="237" t="s">
        <v>1922</v>
      </c>
      <c r="E13" s="121" t="s">
        <v>1942</v>
      </c>
      <c r="F13" s="203" t="s">
        <v>121</v>
      </c>
      <c r="G13" s="203" t="s">
        <v>1273</v>
      </c>
      <c r="H13" s="240">
        <f t="shared" si="1"/>
        <v>692.64128103298151</v>
      </c>
      <c r="I13" s="240">
        <f t="shared" si="2"/>
        <v>692.64128103298151</v>
      </c>
      <c r="J13" s="188">
        <v>692.64128103298151</v>
      </c>
      <c r="K13" s="187">
        <v>6</v>
      </c>
      <c r="L13" s="212">
        <f t="shared" si="3"/>
        <v>5.5216938857858861E-4</v>
      </c>
      <c r="M13" s="245">
        <f t="shared" si="4"/>
        <v>692.64128103298151</v>
      </c>
      <c r="N13" s="245">
        <f t="shared" si="5"/>
        <v>692.64128103298151</v>
      </c>
      <c r="P13" s="187">
        <f t="shared" si="6"/>
        <v>6</v>
      </c>
      <c r="Q13" s="187">
        <f t="shared" si="7"/>
        <v>6.18</v>
      </c>
      <c r="R13" s="187">
        <f t="shared" si="8"/>
        <v>6.18</v>
      </c>
      <c r="S13" s="187">
        <v>4.3</v>
      </c>
      <c r="T13" s="188">
        <f t="shared" si="9"/>
        <v>503.1</v>
      </c>
      <c r="U13" s="188">
        <f t="shared" si="10"/>
        <v>503.1</v>
      </c>
      <c r="X13" s="188">
        <v>760.5</v>
      </c>
      <c r="Y13" s="188">
        <v>760.5</v>
      </c>
      <c r="Z13" s="187">
        <v>6.5</v>
      </c>
      <c r="AA13" s="187">
        <v>6</v>
      </c>
    </row>
    <row r="14" spans="1:27" ht="51">
      <c r="A14" s="236">
        <f t="shared" si="0"/>
        <v>13</v>
      </c>
      <c r="B14" s="236">
        <v>3000120357</v>
      </c>
      <c r="C14" s="203" t="s">
        <v>1904</v>
      </c>
      <c r="D14" s="237" t="s">
        <v>1923</v>
      </c>
      <c r="E14" s="121" t="s">
        <v>1943</v>
      </c>
      <c r="F14" s="203" t="s">
        <v>121</v>
      </c>
      <c r="G14" s="203" t="s">
        <v>1273</v>
      </c>
      <c r="H14" s="240">
        <f t="shared" si="1"/>
        <v>1118.88206936097</v>
      </c>
      <c r="I14" s="240">
        <f t="shared" si="2"/>
        <v>1118.88206936097</v>
      </c>
      <c r="J14" s="188">
        <v>1118.88206936097</v>
      </c>
      <c r="K14" s="187">
        <v>10</v>
      </c>
      <c r="L14" s="212">
        <f t="shared" si="3"/>
        <v>8.9196593539618151E-4</v>
      </c>
      <c r="M14" s="245">
        <f t="shared" si="4"/>
        <v>1118.88206936097</v>
      </c>
      <c r="N14" s="245">
        <f t="shared" si="5"/>
        <v>1118.88206936097</v>
      </c>
      <c r="P14" s="187">
        <f t="shared" si="6"/>
        <v>10</v>
      </c>
      <c r="Q14" s="187">
        <f t="shared" si="7"/>
        <v>10.3</v>
      </c>
      <c r="R14" s="187">
        <f t="shared" si="8"/>
        <v>10.3</v>
      </c>
      <c r="S14" s="187">
        <v>7.4</v>
      </c>
      <c r="T14" s="188">
        <f t="shared" si="9"/>
        <v>865.80000000000007</v>
      </c>
      <c r="U14" s="188">
        <f t="shared" si="10"/>
        <v>865.80000000000007</v>
      </c>
      <c r="X14" s="188">
        <v>1228.5</v>
      </c>
      <c r="Y14" s="188">
        <v>1228.5</v>
      </c>
      <c r="Z14" s="187">
        <v>10.5</v>
      </c>
      <c r="AA14" s="187">
        <v>10</v>
      </c>
    </row>
    <row r="15" spans="1:27" ht="51">
      <c r="A15" s="236">
        <f t="shared" si="0"/>
        <v>14</v>
      </c>
      <c r="B15" s="236">
        <v>3000120357</v>
      </c>
      <c r="C15" s="203" t="s">
        <v>1905</v>
      </c>
      <c r="D15" s="237" t="s">
        <v>1924</v>
      </c>
      <c r="E15" s="121" t="s">
        <v>1944</v>
      </c>
      <c r="F15" s="203" t="s">
        <v>121</v>
      </c>
      <c r="G15" s="203" t="s">
        <v>1272</v>
      </c>
      <c r="H15" s="240">
        <f t="shared" si="1"/>
        <v>1332.0024635249645</v>
      </c>
      <c r="I15" s="240">
        <f t="shared" si="2"/>
        <v>2664.0049270499289</v>
      </c>
      <c r="J15" s="188">
        <v>1332.0024635249645</v>
      </c>
      <c r="K15" s="187">
        <v>12</v>
      </c>
      <c r="L15" s="212">
        <f t="shared" si="3"/>
        <v>2.1237284176099562E-3</v>
      </c>
      <c r="M15" s="245">
        <f t="shared" si="4"/>
        <v>2664.0049270499289</v>
      </c>
      <c r="N15" s="245">
        <f t="shared" si="5"/>
        <v>1332.0024635249645</v>
      </c>
      <c r="P15" s="187">
        <f t="shared" si="6"/>
        <v>24</v>
      </c>
      <c r="Q15" s="187">
        <f t="shared" si="7"/>
        <v>12.36</v>
      </c>
      <c r="R15" s="187">
        <f t="shared" si="8"/>
        <v>24.72</v>
      </c>
      <c r="S15" s="187">
        <v>8</v>
      </c>
      <c r="T15" s="188">
        <f t="shared" si="9"/>
        <v>936</v>
      </c>
      <c r="U15" s="188">
        <f t="shared" si="10"/>
        <v>1872</v>
      </c>
      <c r="X15" s="188">
        <v>1462.5</v>
      </c>
      <c r="Y15" s="188">
        <v>2925</v>
      </c>
      <c r="Z15" s="187">
        <v>12.5</v>
      </c>
      <c r="AA15" s="187">
        <v>12</v>
      </c>
    </row>
    <row r="16" spans="1:27" ht="51">
      <c r="A16" s="236">
        <f t="shared" si="0"/>
        <v>15</v>
      </c>
      <c r="B16" s="236">
        <v>3000120357</v>
      </c>
      <c r="C16" s="203" t="s">
        <v>1906</v>
      </c>
      <c r="D16" s="237" t="s">
        <v>1925</v>
      </c>
      <c r="E16" s="121" t="s">
        <v>1945</v>
      </c>
      <c r="F16" s="203" t="s">
        <v>121</v>
      </c>
      <c r="G16" s="203" t="s">
        <v>1273</v>
      </c>
      <c r="H16" s="240">
        <f t="shared" si="1"/>
        <v>1998.0036952874466</v>
      </c>
      <c r="I16" s="240">
        <f t="shared" si="2"/>
        <v>1998.0036952874466</v>
      </c>
      <c r="J16" s="188">
        <v>1998.0036952874466</v>
      </c>
      <c r="K16" s="187">
        <v>18</v>
      </c>
      <c r="L16" s="212">
        <f t="shared" si="3"/>
        <v>1.592796313207467E-3</v>
      </c>
      <c r="M16" s="245">
        <f t="shared" si="4"/>
        <v>1998.0036952874466</v>
      </c>
      <c r="N16" s="245">
        <f t="shared" si="5"/>
        <v>1998.0036952874466</v>
      </c>
      <c r="P16" s="187">
        <f t="shared" si="6"/>
        <v>18</v>
      </c>
      <c r="Q16" s="187">
        <f t="shared" si="7"/>
        <v>18.54</v>
      </c>
      <c r="R16" s="187">
        <f t="shared" si="8"/>
        <v>18.54</v>
      </c>
      <c r="S16" s="187">
        <v>10.6</v>
      </c>
      <c r="T16" s="188">
        <f t="shared" si="9"/>
        <v>1240.2</v>
      </c>
      <c r="U16" s="188">
        <f t="shared" si="10"/>
        <v>1240.2</v>
      </c>
      <c r="X16" s="188">
        <v>2193.75</v>
      </c>
      <c r="Y16" s="188">
        <v>2193.75</v>
      </c>
      <c r="Z16" s="187">
        <v>18.75</v>
      </c>
      <c r="AA16" s="187">
        <v>18</v>
      </c>
    </row>
    <row r="17" spans="1:27" ht="51">
      <c r="A17" s="236">
        <f t="shared" si="0"/>
        <v>16</v>
      </c>
      <c r="B17" s="236">
        <v>3000120357</v>
      </c>
      <c r="C17" s="203" t="s">
        <v>1907</v>
      </c>
      <c r="D17" s="237" t="s">
        <v>1926</v>
      </c>
      <c r="E17" s="121" t="s">
        <v>1946</v>
      </c>
      <c r="F17" s="203" t="s">
        <v>121</v>
      </c>
      <c r="G17" s="203" t="s">
        <v>1272</v>
      </c>
      <c r="H17" s="240">
        <f t="shared" si="1"/>
        <v>2237.7641387219401</v>
      </c>
      <c r="I17" s="240">
        <f t="shared" si="2"/>
        <v>4475.5282774438801</v>
      </c>
      <c r="J17" s="188">
        <v>2237.7641387219401</v>
      </c>
      <c r="K17" s="187">
        <v>20</v>
      </c>
      <c r="L17" s="212">
        <f t="shared" si="3"/>
        <v>3.567863741584726E-3</v>
      </c>
      <c r="M17" s="245">
        <f t="shared" si="4"/>
        <v>4475.5282774438801</v>
      </c>
      <c r="N17" s="245">
        <f t="shared" si="5"/>
        <v>2237.7641387219401</v>
      </c>
      <c r="P17" s="187">
        <f t="shared" si="6"/>
        <v>40</v>
      </c>
      <c r="Q17" s="187">
        <f t="shared" si="7"/>
        <v>20.6</v>
      </c>
      <c r="R17" s="187">
        <f t="shared" si="8"/>
        <v>41.2</v>
      </c>
      <c r="S17" s="187">
        <v>13.5</v>
      </c>
      <c r="T17" s="188">
        <f t="shared" si="9"/>
        <v>1579.5</v>
      </c>
      <c r="U17" s="188">
        <f t="shared" si="10"/>
        <v>3159</v>
      </c>
      <c r="X17" s="188">
        <v>2457</v>
      </c>
      <c r="Y17" s="188">
        <v>4914</v>
      </c>
      <c r="Z17" s="187">
        <v>21</v>
      </c>
      <c r="AA17" s="187">
        <v>20</v>
      </c>
    </row>
    <row r="18" spans="1:27" ht="51">
      <c r="A18" s="236">
        <f t="shared" si="0"/>
        <v>17</v>
      </c>
      <c r="B18" s="236">
        <v>3000120357</v>
      </c>
      <c r="C18" s="203" t="s">
        <v>1908</v>
      </c>
      <c r="D18" s="237" t="s">
        <v>1927</v>
      </c>
      <c r="E18" s="121" t="s">
        <v>1947</v>
      </c>
      <c r="F18" s="203" t="s">
        <v>121</v>
      </c>
      <c r="G18" s="203" t="s">
        <v>1381</v>
      </c>
      <c r="H18" s="240">
        <f t="shared" si="1"/>
        <v>1438.5626606069616</v>
      </c>
      <c r="I18" s="240">
        <f t="shared" si="2"/>
        <v>5754.2506424278463</v>
      </c>
      <c r="J18" s="188">
        <v>1438.5626606069616</v>
      </c>
      <c r="K18" s="187">
        <v>13</v>
      </c>
      <c r="L18" s="212">
        <f t="shared" si="3"/>
        <v>4.5872533820375053E-3</v>
      </c>
      <c r="M18" s="245">
        <f t="shared" si="4"/>
        <v>5754.2506424278463</v>
      </c>
      <c r="N18" s="245">
        <f t="shared" si="5"/>
        <v>1438.5626606069616</v>
      </c>
      <c r="P18" s="187">
        <f t="shared" si="6"/>
        <v>52</v>
      </c>
      <c r="Q18" s="187">
        <f t="shared" si="7"/>
        <v>13.39</v>
      </c>
      <c r="R18" s="187">
        <f t="shared" si="8"/>
        <v>53.56</v>
      </c>
      <c r="S18" s="187">
        <v>13</v>
      </c>
      <c r="T18" s="188">
        <f t="shared" si="9"/>
        <v>1521</v>
      </c>
      <c r="U18" s="188">
        <f t="shared" si="10"/>
        <v>6084</v>
      </c>
      <c r="X18" s="188">
        <v>1579.5</v>
      </c>
      <c r="Y18" s="188">
        <v>6318</v>
      </c>
      <c r="Z18" s="187">
        <v>13.5</v>
      </c>
      <c r="AA18" s="187">
        <v>13</v>
      </c>
    </row>
    <row r="19" spans="1:27" ht="51">
      <c r="A19" s="236">
        <f t="shared" si="0"/>
        <v>18</v>
      </c>
      <c r="B19" s="236">
        <v>3000120357</v>
      </c>
      <c r="C19" s="203" t="s">
        <v>1909</v>
      </c>
      <c r="D19" s="237" t="s">
        <v>1928</v>
      </c>
      <c r="E19" s="121" t="s">
        <v>1948</v>
      </c>
      <c r="F19" s="203" t="s">
        <v>121</v>
      </c>
      <c r="G19" s="203" t="s">
        <v>1381</v>
      </c>
      <c r="H19" s="240">
        <f t="shared" si="1"/>
        <v>905.76167519697572</v>
      </c>
      <c r="I19" s="240">
        <f t="shared" si="2"/>
        <v>3623.0467007879029</v>
      </c>
      <c r="J19" s="188">
        <v>905.76167519697572</v>
      </c>
      <c r="K19" s="187">
        <v>8</v>
      </c>
      <c r="L19" s="212">
        <f t="shared" si="3"/>
        <v>2.88827064794954E-3</v>
      </c>
      <c r="M19" s="245">
        <f t="shared" si="4"/>
        <v>3623.0467007879029</v>
      </c>
      <c r="N19" s="245">
        <f t="shared" si="5"/>
        <v>905.76167519697572</v>
      </c>
      <c r="P19" s="187">
        <f t="shared" si="6"/>
        <v>32</v>
      </c>
      <c r="Q19" s="187">
        <f t="shared" si="7"/>
        <v>8.24</v>
      </c>
      <c r="R19" s="187">
        <f t="shared" si="8"/>
        <v>32.96</v>
      </c>
      <c r="S19" s="187">
        <v>6.1</v>
      </c>
      <c r="T19" s="188">
        <f t="shared" si="9"/>
        <v>713.7</v>
      </c>
      <c r="U19" s="188">
        <f t="shared" si="10"/>
        <v>2854.8</v>
      </c>
      <c r="X19" s="188">
        <v>994.5</v>
      </c>
      <c r="Y19" s="188">
        <v>3978</v>
      </c>
      <c r="Z19" s="187">
        <v>8.5</v>
      </c>
      <c r="AA19" s="187">
        <v>8</v>
      </c>
    </row>
    <row r="20" spans="1:27" ht="51">
      <c r="A20" s="236">
        <f t="shared" si="0"/>
        <v>19</v>
      </c>
      <c r="B20" s="236">
        <v>3000120357</v>
      </c>
      <c r="C20" s="203" t="s">
        <v>1910</v>
      </c>
      <c r="D20" s="237" t="s">
        <v>1929</v>
      </c>
      <c r="E20" s="121" t="s">
        <v>1949</v>
      </c>
      <c r="F20" s="203" t="s">
        <v>121</v>
      </c>
      <c r="G20" s="203" t="s">
        <v>1381</v>
      </c>
      <c r="H20" s="240">
        <f t="shared" si="1"/>
        <v>559.44103468048502</v>
      </c>
      <c r="I20" s="240">
        <f t="shared" si="2"/>
        <v>2237.7641387219401</v>
      </c>
      <c r="J20" s="188">
        <v>559.44103468048502</v>
      </c>
      <c r="K20" s="187">
        <v>5</v>
      </c>
      <c r="L20" s="212">
        <f t="shared" si="3"/>
        <v>1.783931870792363E-3</v>
      </c>
      <c r="M20" s="245">
        <f t="shared" si="4"/>
        <v>2237.7641387219401</v>
      </c>
      <c r="N20" s="245">
        <f t="shared" si="5"/>
        <v>559.44103468048502</v>
      </c>
      <c r="P20" s="187">
        <f t="shared" si="6"/>
        <v>20</v>
      </c>
      <c r="Q20" s="187">
        <f t="shared" si="7"/>
        <v>5.15</v>
      </c>
      <c r="R20" s="187">
        <f t="shared" si="8"/>
        <v>20.6</v>
      </c>
      <c r="S20" s="187">
        <v>7.5</v>
      </c>
      <c r="T20" s="188">
        <f t="shared" si="9"/>
        <v>877.5</v>
      </c>
      <c r="U20" s="188">
        <f t="shared" si="10"/>
        <v>3510</v>
      </c>
      <c r="X20" s="188">
        <v>614.25</v>
      </c>
      <c r="Y20" s="188">
        <v>2457</v>
      </c>
      <c r="Z20" s="187">
        <v>5.25</v>
      </c>
      <c r="AA20" s="187">
        <v>5</v>
      </c>
    </row>
    <row r="21" spans="1:27">
      <c r="A21" s="236">
        <f t="shared" si="0"/>
        <v>20</v>
      </c>
      <c r="B21" s="21"/>
      <c r="C21" s="417" t="s">
        <v>76</v>
      </c>
      <c r="D21" s="417"/>
      <c r="E21" s="417"/>
      <c r="F21" s="417"/>
      <c r="G21" s="417"/>
      <c r="H21" s="417"/>
      <c r="I21" s="241">
        <f>SUM(I2:I20)</f>
        <v>1254400</v>
      </c>
      <c r="J21" s="188"/>
      <c r="K21" s="188">
        <v>1254400</v>
      </c>
      <c r="L21" s="188"/>
      <c r="M21" s="188">
        <f>SUM(M2:M20)</f>
        <v>1254400</v>
      </c>
      <c r="N21" s="188"/>
      <c r="O21" s="188"/>
      <c r="P21" s="188">
        <f>SUM(P2:P20)</f>
        <v>11416</v>
      </c>
      <c r="Q21" s="119">
        <f t="shared" si="7"/>
        <v>1292032</v>
      </c>
      <c r="R21" s="187">
        <f>SUM(R2:R20)</f>
        <v>11758.480000000001</v>
      </c>
      <c r="U21" s="188">
        <f>SUM(U2:U20)</f>
        <v>906340.5</v>
      </c>
      <c r="X21" s="188"/>
      <c r="Y21" s="188">
        <v>1377294.75</v>
      </c>
      <c r="AA21" s="188">
        <v>1254400</v>
      </c>
    </row>
    <row r="22" spans="1:27">
      <c r="A22" s="236">
        <f t="shared" si="0"/>
        <v>21</v>
      </c>
      <c r="B22" s="21"/>
      <c r="C22" s="417" t="s">
        <v>1637</v>
      </c>
      <c r="D22" s="417"/>
      <c r="E22" s="417"/>
      <c r="F22" s="417"/>
      <c r="G22" s="417"/>
      <c r="H22" s="417"/>
      <c r="I22" s="241">
        <f>I21*18%</f>
        <v>225792</v>
      </c>
      <c r="K22" s="188"/>
      <c r="L22" s="188"/>
      <c r="M22" s="188"/>
      <c r="N22" s="188"/>
      <c r="O22" s="188"/>
      <c r="P22" s="188">
        <v>289</v>
      </c>
      <c r="X22" s="188"/>
      <c r="Y22" s="188">
        <v>247913.05499999999</v>
      </c>
    </row>
    <row r="23" spans="1:27">
      <c r="A23" s="236">
        <f t="shared" si="0"/>
        <v>22</v>
      </c>
      <c r="B23" s="21"/>
      <c r="C23" s="417" t="s">
        <v>742</v>
      </c>
      <c r="D23" s="417"/>
      <c r="E23" s="417"/>
      <c r="F23" s="417"/>
      <c r="G23" s="417"/>
      <c r="H23" s="417"/>
      <c r="I23" s="241">
        <f>SUM(I21:I22)</f>
        <v>1480192</v>
      </c>
      <c r="K23" s="188"/>
      <c r="L23" s="188"/>
      <c r="M23" s="188"/>
      <c r="N23" s="188"/>
      <c r="O23" s="188"/>
      <c r="P23" s="188">
        <f>P21+P22</f>
        <v>11705</v>
      </c>
      <c r="X23" s="188"/>
      <c r="Y23" s="188">
        <v>1625207.8049999999</v>
      </c>
    </row>
    <row r="24" spans="1:27">
      <c r="A24" s="418"/>
      <c r="B24" s="419"/>
      <c r="C24" s="419"/>
      <c r="D24" s="419"/>
      <c r="E24" s="419"/>
      <c r="F24" s="419"/>
      <c r="G24" s="419"/>
      <c r="H24" s="419"/>
      <c r="I24" s="420"/>
    </row>
    <row r="25" spans="1:27" ht="140.25" customHeight="1">
      <c r="A25" s="128" t="s">
        <v>80</v>
      </c>
      <c r="B25" s="360" t="s">
        <v>1765</v>
      </c>
      <c r="C25" s="360"/>
      <c r="D25" s="360"/>
      <c r="E25" s="360"/>
      <c r="F25" s="360"/>
      <c r="G25" s="360"/>
      <c r="H25" s="360"/>
      <c r="I25" s="361"/>
    </row>
  </sheetData>
  <mergeCells count="6">
    <mergeCell ref="B25:I25"/>
    <mergeCell ref="S1:T1"/>
    <mergeCell ref="C21:H21"/>
    <mergeCell ref="C22:H22"/>
    <mergeCell ref="C23:H23"/>
    <mergeCell ref="A24:I24"/>
  </mergeCells>
  <printOptions horizontalCentered="1"/>
  <pageMargins left="0.31496062992125984" right="0.31496062992125984" top="0.55118110236220474" bottom="0.55118110236220474" header="0.31496062992125984" footer="0.31496062992125984"/>
  <pageSetup orientation="landscape" horizontalDpi="4294967292" r:id="rId1"/>
  <headerFooter>
    <oddFooter>Page &amp;P of &amp;N</oddFooter>
  </headerFooter>
  <drawing r:id="rId2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C6AB5-217B-49E7-93E0-A027D6E426E0}">
  <dimension ref="A1:M7"/>
  <sheetViews>
    <sheetView zoomScaleNormal="100" workbookViewId="0">
      <selection activeCell="H2" sqref="H2"/>
    </sheetView>
  </sheetViews>
  <sheetFormatPr defaultColWidth="9.140625" defaultRowHeight="12.75"/>
  <cols>
    <col min="1" max="1" width="5.85546875" style="119" bestFit="1" customWidth="1"/>
    <col min="2" max="2" width="11" style="119" bestFit="1" customWidth="1"/>
    <col min="3" max="3" width="16.5703125" style="119" bestFit="1" customWidth="1"/>
    <col min="4" max="4" width="21.42578125" style="119" bestFit="1" customWidth="1"/>
    <col min="5" max="5" width="57" style="119" bestFit="1" customWidth="1"/>
    <col min="6" max="6" width="8.85546875" style="119" customWidth="1"/>
    <col min="7" max="7" width="11.5703125" style="119" customWidth="1"/>
    <col min="8" max="8" width="17" style="119" customWidth="1"/>
    <col min="9" max="9" width="15.42578125" style="119" customWidth="1"/>
    <col min="10" max="10" width="12.28515625" style="119" bestFit="1" customWidth="1"/>
    <col min="11" max="11" width="12.5703125" style="119" bestFit="1" customWidth="1"/>
    <col min="12" max="12" width="13" style="119" customWidth="1"/>
    <col min="13" max="13" width="13.140625" style="119" customWidth="1"/>
    <col min="14" max="16384" width="9.140625" style="119"/>
  </cols>
  <sheetData>
    <row r="1" spans="1:13" ht="13.5" customHeight="1">
      <c r="A1" s="152" t="s">
        <v>0</v>
      </c>
      <c r="B1" s="152" t="s">
        <v>503</v>
      </c>
      <c r="C1" s="117" t="s">
        <v>1604</v>
      </c>
      <c r="D1" s="117" t="s">
        <v>778</v>
      </c>
      <c r="E1" s="173" t="s">
        <v>67</v>
      </c>
      <c r="F1" s="173" t="s">
        <v>3</v>
      </c>
      <c r="G1" s="117" t="s">
        <v>1582</v>
      </c>
      <c r="H1" s="152" t="s">
        <v>1583</v>
      </c>
      <c r="I1" s="152" t="s">
        <v>1584</v>
      </c>
      <c r="J1" s="119" t="s">
        <v>1250</v>
      </c>
      <c r="K1" s="119" t="s">
        <v>145</v>
      </c>
    </row>
    <row r="2" spans="1:13" ht="25.5">
      <c r="A2" s="238">
        <v>1</v>
      </c>
      <c r="B2" s="238" t="s">
        <v>522</v>
      </c>
      <c r="C2" s="203" t="s">
        <v>522</v>
      </c>
      <c r="D2" s="203" t="s">
        <v>1951</v>
      </c>
      <c r="E2" s="121" t="s">
        <v>1952</v>
      </c>
      <c r="F2" s="203" t="s">
        <v>1581</v>
      </c>
      <c r="G2" s="203">
        <v>1</v>
      </c>
      <c r="H2" s="239">
        <f>J2</f>
        <v>120000</v>
      </c>
      <c r="I2" s="239">
        <f>H2*G2</f>
        <v>120000</v>
      </c>
      <c r="J2" s="187">
        <v>120000</v>
      </c>
      <c r="K2" s="187">
        <v>620</v>
      </c>
    </row>
    <row r="3" spans="1:13">
      <c r="A3" s="21">
        <f t="shared" ref="A3:A5" si="0">ROW()-1</f>
        <v>2</v>
      </c>
      <c r="B3" s="21"/>
      <c r="C3" s="417" t="s">
        <v>76</v>
      </c>
      <c r="D3" s="417"/>
      <c r="E3" s="417"/>
      <c r="F3" s="417"/>
      <c r="G3" s="417"/>
      <c r="H3" s="417"/>
      <c r="I3" s="185">
        <f>SUM(I2:I2)</f>
        <v>120000</v>
      </c>
      <c r="J3" s="188"/>
      <c r="K3" s="188"/>
      <c r="L3" s="188"/>
      <c r="M3" s="188"/>
    </row>
    <row r="4" spans="1:13">
      <c r="A4" s="21">
        <f t="shared" si="0"/>
        <v>3</v>
      </c>
      <c r="B4" s="21"/>
      <c r="C4" s="417" t="s">
        <v>1637</v>
      </c>
      <c r="D4" s="417"/>
      <c r="E4" s="417"/>
      <c r="F4" s="417"/>
      <c r="G4" s="417"/>
      <c r="H4" s="417"/>
      <c r="I4" s="185">
        <f>I3*18%</f>
        <v>21600</v>
      </c>
      <c r="K4" s="188"/>
      <c r="L4" s="188"/>
      <c r="M4" s="188"/>
    </row>
    <row r="5" spans="1:13">
      <c r="A5" s="21">
        <f t="shared" si="0"/>
        <v>4</v>
      </c>
      <c r="B5" s="21"/>
      <c r="C5" s="417" t="s">
        <v>742</v>
      </c>
      <c r="D5" s="417"/>
      <c r="E5" s="417"/>
      <c r="F5" s="417"/>
      <c r="G5" s="417"/>
      <c r="H5" s="417"/>
      <c r="I5" s="185">
        <f>SUM(I3:I4)</f>
        <v>141600</v>
      </c>
      <c r="K5" s="188"/>
      <c r="L5" s="188"/>
      <c r="M5" s="188"/>
    </row>
    <row r="6" spans="1:13">
      <c r="A6" s="418"/>
      <c r="B6" s="419"/>
      <c r="C6" s="419"/>
      <c r="D6" s="419"/>
      <c r="E6" s="419"/>
      <c r="F6" s="419"/>
      <c r="G6" s="419"/>
      <c r="H6" s="419"/>
      <c r="I6" s="420"/>
    </row>
    <row r="7" spans="1:13" ht="140.25" customHeight="1">
      <c r="A7" s="128" t="s">
        <v>80</v>
      </c>
      <c r="B7" s="360" t="s">
        <v>1765</v>
      </c>
      <c r="C7" s="360"/>
      <c r="D7" s="360"/>
      <c r="E7" s="360"/>
      <c r="F7" s="360"/>
      <c r="G7" s="360"/>
      <c r="H7" s="360"/>
      <c r="I7" s="361"/>
    </row>
  </sheetData>
  <mergeCells count="5">
    <mergeCell ref="C3:H3"/>
    <mergeCell ref="C4:H4"/>
    <mergeCell ref="C5:H5"/>
    <mergeCell ref="A6:I6"/>
    <mergeCell ref="B7:I7"/>
  </mergeCells>
  <printOptions horizontalCentered="1"/>
  <pageMargins left="0.31496062992125984" right="0.31496062992125984" top="0.55118110236220474" bottom="0.55118110236220474" header="0.31496062992125984" footer="0.31496062992125984"/>
  <pageSetup orientation="landscape" horizontalDpi="4294967292" r:id="rId1"/>
  <headerFooter>
    <oddFooter>Page &amp;P of &amp;N</oddFooter>
  </headerFooter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57435-1944-45E6-AA53-36688C823FD9}">
  <dimension ref="A1:M8"/>
  <sheetViews>
    <sheetView topLeftCell="B1" zoomScaleNormal="100" workbookViewId="0">
      <selection activeCell="K2" sqref="K2"/>
    </sheetView>
  </sheetViews>
  <sheetFormatPr defaultColWidth="9.140625" defaultRowHeight="12.75"/>
  <cols>
    <col min="1" max="1" width="5.85546875" style="119" bestFit="1" customWidth="1"/>
    <col min="2" max="2" width="11" style="119" bestFit="1" customWidth="1"/>
    <col min="3" max="3" width="16.5703125" style="119" bestFit="1" customWidth="1"/>
    <col min="4" max="4" width="21.42578125" style="119" bestFit="1" customWidth="1"/>
    <col min="5" max="5" width="57" style="119" bestFit="1" customWidth="1"/>
    <col min="6" max="6" width="8.85546875" style="119" customWidth="1"/>
    <col min="7" max="7" width="11.5703125" style="119" customWidth="1"/>
    <col min="8" max="8" width="17" style="119" customWidth="1"/>
    <col min="9" max="9" width="15.42578125" style="119" customWidth="1"/>
    <col min="10" max="10" width="11.42578125" style="119" bestFit="1" customWidth="1"/>
    <col min="11" max="11" width="12.5703125" style="119" bestFit="1" customWidth="1"/>
    <col min="12" max="12" width="13" style="119" customWidth="1"/>
    <col min="13" max="13" width="13.140625" style="119" customWidth="1"/>
    <col min="14" max="16384" width="9.140625" style="119"/>
  </cols>
  <sheetData>
    <row r="1" spans="1:13" ht="13.5" customHeight="1">
      <c r="A1" s="152" t="s">
        <v>0</v>
      </c>
      <c r="B1" s="152" t="s">
        <v>503</v>
      </c>
      <c r="C1" s="117" t="s">
        <v>1604</v>
      </c>
      <c r="D1" s="117" t="s">
        <v>778</v>
      </c>
      <c r="E1" s="173" t="s">
        <v>67</v>
      </c>
      <c r="F1" s="173" t="s">
        <v>3</v>
      </c>
      <c r="G1" s="117" t="s">
        <v>1582</v>
      </c>
      <c r="H1" s="152" t="s">
        <v>1583</v>
      </c>
      <c r="I1" s="152" t="s">
        <v>1584</v>
      </c>
      <c r="J1" s="119" t="s">
        <v>1250</v>
      </c>
      <c r="K1" s="119" t="s">
        <v>2003</v>
      </c>
    </row>
    <row r="2" spans="1:13" ht="63.75">
      <c r="A2" s="242">
        <v>1</v>
      </c>
      <c r="B2" s="242">
        <v>3000120475</v>
      </c>
      <c r="C2" s="203" t="s">
        <v>1961</v>
      </c>
      <c r="D2" s="203" t="s">
        <v>1962</v>
      </c>
      <c r="E2" s="121" t="s">
        <v>1963</v>
      </c>
      <c r="F2" s="203" t="s">
        <v>1182</v>
      </c>
      <c r="G2" s="203">
        <v>2</v>
      </c>
      <c r="H2" s="240">
        <f>J2</f>
        <v>8500</v>
      </c>
      <c r="I2" s="240">
        <f>H2*G2</f>
        <v>17000</v>
      </c>
      <c r="J2" s="119">
        <v>8500</v>
      </c>
      <c r="K2" s="188">
        <v>1500</v>
      </c>
      <c r="L2" s="119">
        <v>3000</v>
      </c>
      <c r="M2" s="119">
        <f>L2*G2</f>
        <v>6000</v>
      </c>
    </row>
    <row r="3" spans="1:13" ht="63.75">
      <c r="A3" s="242">
        <v>2</v>
      </c>
      <c r="B3" s="242">
        <v>3000120475</v>
      </c>
      <c r="C3" s="203" t="s">
        <v>1964</v>
      </c>
      <c r="D3" s="203" t="s">
        <v>1965</v>
      </c>
      <c r="E3" s="121" t="s">
        <v>1966</v>
      </c>
      <c r="F3" s="203" t="s">
        <v>1182</v>
      </c>
      <c r="G3" s="203">
        <v>2</v>
      </c>
      <c r="H3" s="240">
        <f>J3</f>
        <v>4500</v>
      </c>
      <c r="I3" s="240">
        <f>H3*G3</f>
        <v>9000</v>
      </c>
      <c r="J3" s="119">
        <v>4500</v>
      </c>
      <c r="K3" s="188">
        <v>495</v>
      </c>
      <c r="L3" s="119">
        <v>2200</v>
      </c>
      <c r="M3" s="119">
        <f>L3*G3</f>
        <v>4400</v>
      </c>
    </row>
    <row r="4" spans="1:13">
      <c r="A4" s="21">
        <f t="shared" ref="A4:A6" si="0">ROW()-1</f>
        <v>3</v>
      </c>
      <c r="B4" s="21"/>
      <c r="C4" s="417" t="s">
        <v>76</v>
      </c>
      <c r="D4" s="417"/>
      <c r="E4" s="417"/>
      <c r="F4" s="417"/>
      <c r="G4" s="417"/>
      <c r="H4" s="417"/>
      <c r="I4" s="241">
        <f>SUM(I2:I3)</f>
        <v>26000</v>
      </c>
      <c r="J4" s="188"/>
      <c r="K4" s="188"/>
      <c r="L4" s="188"/>
      <c r="M4" s="188">
        <f>SUM(M2:M3)</f>
        <v>10400</v>
      </c>
    </row>
    <row r="5" spans="1:13">
      <c r="A5" s="21">
        <f t="shared" si="0"/>
        <v>4</v>
      </c>
      <c r="B5" s="21"/>
      <c r="C5" s="417" t="s">
        <v>1637</v>
      </c>
      <c r="D5" s="417"/>
      <c r="E5" s="417"/>
      <c r="F5" s="417"/>
      <c r="G5" s="417"/>
      <c r="H5" s="417"/>
      <c r="I5" s="241">
        <f>I4*18%</f>
        <v>4680</v>
      </c>
      <c r="K5" s="188"/>
      <c r="L5" s="188"/>
      <c r="M5" s="188"/>
    </row>
    <row r="6" spans="1:13">
      <c r="A6" s="21">
        <f t="shared" si="0"/>
        <v>5</v>
      </c>
      <c r="B6" s="21"/>
      <c r="C6" s="417" t="s">
        <v>742</v>
      </c>
      <c r="D6" s="417"/>
      <c r="E6" s="417"/>
      <c r="F6" s="417"/>
      <c r="G6" s="417"/>
      <c r="H6" s="417"/>
      <c r="I6" s="241">
        <f>SUM(I4:I5)</f>
        <v>30680</v>
      </c>
      <c r="K6" s="188"/>
      <c r="L6" s="188"/>
      <c r="M6" s="188"/>
    </row>
    <row r="7" spans="1:13">
      <c r="A7" s="418"/>
      <c r="B7" s="419"/>
      <c r="C7" s="419"/>
      <c r="D7" s="419"/>
      <c r="E7" s="419"/>
      <c r="F7" s="419"/>
      <c r="G7" s="419"/>
      <c r="H7" s="419"/>
      <c r="I7" s="420"/>
    </row>
    <row r="8" spans="1:13" ht="140.25" customHeight="1">
      <c r="A8" s="128" t="s">
        <v>80</v>
      </c>
      <c r="B8" s="360" t="s">
        <v>1765</v>
      </c>
      <c r="C8" s="360"/>
      <c r="D8" s="360"/>
      <c r="E8" s="360"/>
      <c r="F8" s="360"/>
      <c r="G8" s="360"/>
      <c r="H8" s="360"/>
      <c r="I8" s="361"/>
    </row>
  </sheetData>
  <mergeCells count="5">
    <mergeCell ref="C4:H4"/>
    <mergeCell ref="C5:H5"/>
    <mergeCell ref="C6:H6"/>
    <mergeCell ref="A7:I7"/>
    <mergeCell ref="B8:I8"/>
  </mergeCells>
  <printOptions horizontalCentered="1"/>
  <pageMargins left="0.31496062992125984" right="0.31496062992125984" top="0.55118110236220474" bottom="0.55118110236220474" header="0.31496062992125984" footer="0.31496062992125984"/>
  <pageSetup orientation="landscape" horizontalDpi="4294967292" r:id="rId1"/>
  <headerFooter>
    <oddFooter>Page &amp;P of &amp;N</oddFooter>
  </headerFooter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C7338-DF0B-4E8B-A2ED-415C478F1532}">
  <dimension ref="A1:M19"/>
  <sheetViews>
    <sheetView zoomScaleNormal="100" workbookViewId="0">
      <selection activeCell="E10" sqref="E10"/>
    </sheetView>
  </sheetViews>
  <sheetFormatPr defaultColWidth="9.140625" defaultRowHeight="12.75"/>
  <cols>
    <col min="1" max="1" width="5.85546875" style="119" bestFit="1" customWidth="1"/>
    <col min="2" max="2" width="15.85546875" style="119" customWidth="1"/>
    <col min="3" max="3" width="18.7109375" style="119" customWidth="1"/>
    <col min="4" max="4" width="22" style="119" customWidth="1"/>
    <col min="5" max="5" width="42.85546875" style="119" customWidth="1"/>
    <col min="6" max="6" width="8.85546875" style="119" customWidth="1"/>
    <col min="7" max="7" width="11.5703125" style="119" customWidth="1"/>
    <col min="8" max="8" width="17" style="119" customWidth="1"/>
    <col min="9" max="9" width="15.42578125" style="119" customWidth="1"/>
    <col min="10" max="10" width="11.42578125" style="119" bestFit="1" customWidth="1"/>
    <col min="11" max="11" width="12.5703125" style="119" bestFit="1" customWidth="1"/>
    <col min="12" max="12" width="13" style="119" customWidth="1"/>
    <col min="13" max="13" width="13.140625" style="119" customWidth="1"/>
    <col min="14" max="16384" width="9.140625" style="119"/>
  </cols>
  <sheetData>
    <row r="1" spans="1:13" ht="13.5" customHeight="1">
      <c r="A1" s="152" t="s">
        <v>0</v>
      </c>
      <c r="B1" s="152" t="s">
        <v>503</v>
      </c>
      <c r="C1" s="117" t="s">
        <v>1604</v>
      </c>
      <c r="D1" s="117" t="s">
        <v>778</v>
      </c>
      <c r="E1" s="173" t="s">
        <v>67</v>
      </c>
      <c r="F1" s="173" t="s">
        <v>3</v>
      </c>
      <c r="G1" s="117" t="s">
        <v>1582</v>
      </c>
      <c r="H1" s="152" t="s">
        <v>1583</v>
      </c>
      <c r="I1" s="152" t="s">
        <v>1584</v>
      </c>
      <c r="J1" s="119" t="s">
        <v>1250</v>
      </c>
      <c r="K1" s="119" t="s">
        <v>1867</v>
      </c>
      <c r="L1" s="119" t="s">
        <v>1868</v>
      </c>
    </row>
    <row r="2" spans="1:13" ht="76.5">
      <c r="A2" s="243">
        <f>ROW()-1</f>
        <v>1</v>
      </c>
      <c r="B2" s="243" t="s">
        <v>2023</v>
      </c>
      <c r="C2" s="250" t="s">
        <v>1967</v>
      </c>
      <c r="D2" s="203" t="s">
        <v>1968</v>
      </c>
      <c r="E2" s="121" t="s">
        <v>1969</v>
      </c>
      <c r="F2" s="203" t="s">
        <v>1182</v>
      </c>
      <c r="G2" s="203">
        <v>2</v>
      </c>
      <c r="H2" s="243"/>
      <c r="I2" s="243"/>
    </row>
    <row r="3" spans="1:13" ht="89.25">
      <c r="A3" s="248">
        <f t="shared" ref="A3:A17" si="0">ROW()-1</f>
        <v>2</v>
      </c>
      <c r="B3" s="248" t="s">
        <v>2023</v>
      </c>
      <c r="C3" s="250" t="s">
        <v>1970</v>
      </c>
      <c r="D3" s="203" t="s">
        <v>1971</v>
      </c>
      <c r="E3" s="121" t="s">
        <v>1972</v>
      </c>
      <c r="F3" s="203" t="s">
        <v>1182</v>
      </c>
      <c r="G3" s="203">
        <v>1</v>
      </c>
      <c r="H3" s="243"/>
      <c r="I3" s="243"/>
    </row>
    <row r="4" spans="1:13" s="233" customFormat="1" ht="63.75">
      <c r="A4" s="248">
        <f t="shared" si="0"/>
        <v>3</v>
      </c>
      <c r="B4" s="248" t="s">
        <v>2023</v>
      </c>
      <c r="C4" s="251" t="s">
        <v>1973</v>
      </c>
      <c r="D4" s="10" t="s">
        <v>1974</v>
      </c>
      <c r="E4" s="121" t="s">
        <v>1975</v>
      </c>
      <c r="F4" s="10" t="s">
        <v>1182</v>
      </c>
      <c r="G4" s="10">
        <v>1</v>
      </c>
      <c r="H4" s="21"/>
      <c r="I4" s="21"/>
    </row>
    <row r="5" spans="1:13" s="234" customFormat="1" ht="76.5">
      <c r="A5" s="248">
        <f t="shared" si="0"/>
        <v>4</v>
      </c>
      <c r="B5" s="248" t="s">
        <v>2023</v>
      </c>
      <c r="C5" s="251" t="s">
        <v>1976</v>
      </c>
      <c r="D5" s="10" t="s">
        <v>1977</v>
      </c>
      <c r="E5" s="121" t="s">
        <v>1978</v>
      </c>
      <c r="F5" s="10" t="s">
        <v>1182</v>
      </c>
      <c r="G5" s="10">
        <v>1</v>
      </c>
      <c r="H5" s="21"/>
      <c r="I5" s="21"/>
    </row>
    <row r="6" spans="1:13" s="234" customFormat="1" ht="114.75">
      <c r="A6" s="248">
        <f t="shared" si="0"/>
        <v>5</v>
      </c>
      <c r="B6" s="248" t="s">
        <v>2023</v>
      </c>
      <c r="C6" s="251" t="s">
        <v>1979</v>
      </c>
      <c r="D6" s="10" t="s">
        <v>1980</v>
      </c>
      <c r="E6" s="121" t="s">
        <v>1981</v>
      </c>
      <c r="F6" s="10" t="s">
        <v>221</v>
      </c>
      <c r="G6" s="10">
        <v>1</v>
      </c>
      <c r="H6" s="21"/>
      <c r="I6" s="21"/>
    </row>
    <row r="7" spans="1:13" s="234" customFormat="1" ht="102">
      <c r="A7" s="248">
        <f t="shared" si="0"/>
        <v>6</v>
      </c>
      <c r="B7" s="248" t="s">
        <v>2023</v>
      </c>
      <c r="C7" s="251" t="s">
        <v>1982</v>
      </c>
      <c r="D7" s="10" t="s">
        <v>1983</v>
      </c>
      <c r="E7" s="121" t="s">
        <v>1984</v>
      </c>
      <c r="F7" s="10" t="s">
        <v>1182</v>
      </c>
      <c r="G7" s="10">
        <v>2</v>
      </c>
      <c r="H7" s="21"/>
      <c r="I7" s="21"/>
    </row>
    <row r="8" spans="1:13" s="234" customFormat="1" ht="89.25">
      <c r="A8" s="248">
        <f t="shared" si="0"/>
        <v>7</v>
      </c>
      <c r="B8" s="248" t="s">
        <v>2023</v>
      </c>
      <c r="C8" s="251" t="s">
        <v>1985</v>
      </c>
      <c r="D8" s="10" t="s">
        <v>1986</v>
      </c>
      <c r="E8" s="121" t="s">
        <v>1987</v>
      </c>
      <c r="F8" s="10" t="s">
        <v>1182</v>
      </c>
      <c r="G8" s="10">
        <v>5</v>
      </c>
      <c r="H8" s="21"/>
      <c r="I8" s="21"/>
    </row>
    <row r="9" spans="1:13" s="234" customFormat="1" ht="102">
      <c r="A9" s="248">
        <f t="shared" si="0"/>
        <v>8</v>
      </c>
      <c r="B9" s="248" t="s">
        <v>2023</v>
      </c>
      <c r="C9" s="251" t="s">
        <v>1988</v>
      </c>
      <c r="D9" s="10" t="s">
        <v>1989</v>
      </c>
      <c r="E9" s="121" t="s">
        <v>1990</v>
      </c>
      <c r="F9" s="10" t="s">
        <v>1182</v>
      </c>
      <c r="G9" s="10">
        <v>1</v>
      </c>
      <c r="H9" s="21"/>
      <c r="I9" s="21"/>
    </row>
    <row r="10" spans="1:13" s="234" customFormat="1" ht="76.5">
      <c r="A10" s="248">
        <f t="shared" si="0"/>
        <v>9</v>
      </c>
      <c r="B10" s="248" t="s">
        <v>2023</v>
      </c>
      <c r="C10" s="251" t="s">
        <v>1991</v>
      </c>
      <c r="D10" s="10" t="s">
        <v>1992</v>
      </c>
      <c r="E10" s="121" t="s">
        <v>1993</v>
      </c>
      <c r="F10" s="10" t="s">
        <v>221</v>
      </c>
      <c r="G10" s="10">
        <v>1</v>
      </c>
      <c r="H10" s="21"/>
      <c r="I10" s="21"/>
    </row>
    <row r="11" spans="1:13" s="234" customFormat="1" ht="140.25">
      <c r="A11" s="248">
        <f t="shared" si="0"/>
        <v>10</v>
      </c>
      <c r="B11" s="248" t="s">
        <v>2023</v>
      </c>
      <c r="C11" s="251" t="s">
        <v>1994</v>
      </c>
      <c r="D11" s="10" t="s">
        <v>1995</v>
      </c>
      <c r="E11" s="121" t="s">
        <v>1996</v>
      </c>
      <c r="F11" s="10" t="s">
        <v>1182</v>
      </c>
      <c r="G11" s="10">
        <v>1</v>
      </c>
      <c r="H11" s="21"/>
      <c r="I11" s="21"/>
    </row>
    <row r="12" spans="1:13" s="234" customFormat="1" ht="153">
      <c r="A12" s="248">
        <f t="shared" si="0"/>
        <v>11</v>
      </c>
      <c r="B12" s="248" t="s">
        <v>2023</v>
      </c>
      <c r="C12" s="251" t="s">
        <v>1997</v>
      </c>
      <c r="D12" s="10" t="s">
        <v>1998</v>
      </c>
      <c r="E12" s="121" t="s">
        <v>1999</v>
      </c>
      <c r="F12" s="10" t="s">
        <v>1182</v>
      </c>
      <c r="G12" s="10">
        <v>1</v>
      </c>
      <c r="H12" s="21"/>
      <c r="I12" s="21"/>
    </row>
    <row r="13" spans="1:13" s="234" customFormat="1" ht="114.75">
      <c r="A13" s="248">
        <f t="shared" si="0"/>
        <v>12</v>
      </c>
      <c r="B13" s="248" t="s">
        <v>2023</v>
      </c>
      <c r="C13" s="251" t="s">
        <v>2024</v>
      </c>
      <c r="D13" s="121" t="s">
        <v>2026</v>
      </c>
      <c r="E13" s="121" t="s">
        <v>2028</v>
      </c>
      <c r="F13" s="10" t="s">
        <v>1182</v>
      </c>
      <c r="G13" s="10">
        <v>1</v>
      </c>
      <c r="H13" s="204">
        <f>J13</f>
        <v>0</v>
      </c>
      <c r="I13" s="204">
        <f>H13*G13</f>
        <v>0</v>
      </c>
      <c r="J13" s="235"/>
      <c r="K13" s="235"/>
      <c r="L13" s="235"/>
    </row>
    <row r="14" spans="1:13" s="234" customFormat="1" ht="51">
      <c r="A14" s="248">
        <f t="shared" si="0"/>
        <v>13</v>
      </c>
      <c r="B14" s="248" t="s">
        <v>2023</v>
      </c>
      <c r="C14" s="10" t="s">
        <v>2025</v>
      </c>
      <c r="D14" s="121" t="s">
        <v>2027</v>
      </c>
      <c r="E14" s="121" t="s">
        <v>2029</v>
      </c>
      <c r="F14" s="10" t="s">
        <v>1182</v>
      </c>
      <c r="G14" s="10">
        <v>4</v>
      </c>
      <c r="H14" s="204"/>
      <c r="I14" s="204"/>
      <c r="J14" s="235"/>
      <c r="K14" s="235"/>
      <c r="L14" s="235"/>
    </row>
    <row r="15" spans="1:13">
      <c r="A15" s="248">
        <f t="shared" si="0"/>
        <v>14</v>
      </c>
      <c r="B15" s="21"/>
      <c r="C15" s="417" t="s">
        <v>76</v>
      </c>
      <c r="D15" s="417"/>
      <c r="E15" s="417"/>
      <c r="F15" s="417"/>
      <c r="G15" s="417"/>
      <c r="H15" s="417"/>
      <c r="I15" s="185">
        <f>SUM(I13:I13)</f>
        <v>0</v>
      </c>
      <c r="J15" s="188"/>
      <c r="K15" s="188"/>
      <c r="L15" s="188"/>
      <c r="M15" s="188"/>
    </row>
    <row r="16" spans="1:13">
      <c r="A16" s="248">
        <f t="shared" si="0"/>
        <v>15</v>
      </c>
      <c r="B16" s="21"/>
      <c r="C16" s="417" t="s">
        <v>1637</v>
      </c>
      <c r="D16" s="417"/>
      <c r="E16" s="417"/>
      <c r="F16" s="417"/>
      <c r="G16" s="417"/>
      <c r="H16" s="417"/>
      <c r="I16" s="185">
        <f>I15*18%</f>
        <v>0</v>
      </c>
      <c r="K16" s="188"/>
      <c r="L16" s="188"/>
      <c r="M16" s="188"/>
    </row>
    <row r="17" spans="1:13">
      <c r="A17" s="248">
        <f t="shared" si="0"/>
        <v>16</v>
      </c>
      <c r="B17" s="21"/>
      <c r="C17" s="417" t="s">
        <v>742</v>
      </c>
      <c r="D17" s="417"/>
      <c r="E17" s="417"/>
      <c r="F17" s="417"/>
      <c r="G17" s="417"/>
      <c r="H17" s="417"/>
      <c r="I17" s="185">
        <f>SUM(I15:I16)</f>
        <v>0</v>
      </c>
      <c r="K17" s="188"/>
      <c r="L17" s="188"/>
      <c r="M17" s="188"/>
    </row>
    <row r="18" spans="1:13">
      <c r="A18" s="418"/>
      <c r="B18" s="419"/>
      <c r="C18" s="419"/>
      <c r="D18" s="419"/>
      <c r="E18" s="419"/>
      <c r="F18" s="419"/>
      <c r="G18" s="419"/>
      <c r="H18" s="419"/>
      <c r="I18" s="420"/>
    </row>
    <row r="19" spans="1:13" ht="140.25" customHeight="1">
      <c r="A19" s="128" t="s">
        <v>80</v>
      </c>
      <c r="B19" s="360" t="s">
        <v>1765</v>
      </c>
      <c r="C19" s="360"/>
      <c r="D19" s="360"/>
      <c r="E19" s="360"/>
      <c r="F19" s="360"/>
      <c r="G19" s="360"/>
      <c r="H19" s="360"/>
      <c r="I19" s="361"/>
    </row>
  </sheetData>
  <mergeCells count="5">
    <mergeCell ref="C15:H15"/>
    <mergeCell ref="C16:H16"/>
    <mergeCell ref="C17:H17"/>
    <mergeCell ref="A18:I18"/>
    <mergeCell ref="B19:I19"/>
  </mergeCells>
  <printOptions horizontalCentered="1"/>
  <pageMargins left="0.31496062992125984" right="0.31496062992125984" top="0.55118110236220474" bottom="0.55118110236220474" header="0.31496062992125984" footer="0.31496062992125984"/>
  <pageSetup orientation="landscape" horizontalDpi="4294967292" r:id="rId1"/>
  <headerFooter>
    <oddFooter>Page &amp;P of &amp;N</oddFooter>
  </headerFooter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36DB5-986E-43D7-851C-48E7201D07FB}">
  <dimension ref="A1:M7"/>
  <sheetViews>
    <sheetView zoomScaleNormal="100" workbookViewId="0">
      <selection activeCell="M2" sqref="M2"/>
    </sheetView>
  </sheetViews>
  <sheetFormatPr defaultColWidth="9.140625" defaultRowHeight="12.75"/>
  <cols>
    <col min="1" max="1" width="5.85546875" style="119" bestFit="1" customWidth="1"/>
    <col min="2" max="2" width="11" style="119" bestFit="1" customWidth="1"/>
    <col min="3" max="3" width="16.7109375" style="119" bestFit="1" customWidth="1"/>
    <col min="4" max="4" width="17.7109375" style="119" bestFit="1" customWidth="1"/>
    <col min="5" max="5" width="30.7109375" style="119" bestFit="1" customWidth="1"/>
    <col min="6" max="6" width="5" style="119" bestFit="1" customWidth="1"/>
    <col min="7" max="7" width="6.7109375" style="119" bestFit="1" customWidth="1"/>
    <col min="8" max="8" width="11.42578125" style="119" bestFit="1" customWidth="1"/>
    <col min="9" max="9" width="12.5703125" style="119" bestFit="1" customWidth="1"/>
    <col min="10" max="10" width="11.42578125" style="119" bestFit="1" customWidth="1"/>
    <col min="11" max="11" width="12.5703125" style="119" bestFit="1" customWidth="1"/>
    <col min="12" max="12" width="13" style="119" customWidth="1"/>
    <col min="13" max="13" width="13.140625" style="119" customWidth="1"/>
    <col min="14" max="16384" width="9.140625" style="119"/>
  </cols>
  <sheetData>
    <row r="1" spans="1:13" ht="13.5" customHeight="1">
      <c r="A1" s="152" t="s">
        <v>0</v>
      </c>
      <c r="B1" s="152" t="s">
        <v>503</v>
      </c>
      <c r="C1" s="117" t="s">
        <v>1604</v>
      </c>
      <c r="D1" s="117" t="s">
        <v>778</v>
      </c>
      <c r="E1" s="173" t="s">
        <v>67</v>
      </c>
      <c r="F1" s="173" t="s">
        <v>3</v>
      </c>
      <c r="G1" s="117" t="s">
        <v>1582</v>
      </c>
      <c r="H1" s="152" t="s">
        <v>1583</v>
      </c>
      <c r="I1" s="152" t="s">
        <v>1584</v>
      </c>
      <c r="J1" s="119" t="s">
        <v>1250</v>
      </c>
      <c r="K1" s="119" t="s">
        <v>145</v>
      </c>
      <c r="L1" s="119" t="s">
        <v>119</v>
      </c>
      <c r="M1" s="119" t="s">
        <v>1603</v>
      </c>
    </row>
    <row r="2" spans="1:13" ht="38.25">
      <c r="A2" s="244">
        <v>1</v>
      </c>
      <c r="B2" s="244">
        <v>3000120357</v>
      </c>
      <c r="C2" s="203" t="s">
        <v>2000</v>
      </c>
      <c r="D2" s="203" t="s">
        <v>2001</v>
      </c>
      <c r="E2" s="121" t="s">
        <v>2002</v>
      </c>
      <c r="F2" s="203" t="s">
        <v>1581</v>
      </c>
      <c r="G2" s="203">
        <v>20</v>
      </c>
      <c r="H2" s="239">
        <f>90*1.3*J2</f>
        <v>9360</v>
      </c>
      <c r="I2" s="239">
        <f>H2*G2</f>
        <v>187200</v>
      </c>
      <c r="J2" s="187">
        <v>80</v>
      </c>
      <c r="K2" s="187">
        <v>142</v>
      </c>
      <c r="L2" s="187">
        <v>43</v>
      </c>
      <c r="M2" s="187">
        <v>33</v>
      </c>
    </row>
    <row r="3" spans="1:13">
      <c r="A3" s="21">
        <v>15</v>
      </c>
      <c r="B3" s="21"/>
      <c r="C3" s="417" t="s">
        <v>76</v>
      </c>
      <c r="D3" s="417"/>
      <c r="E3" s="417"/>
      <c r="F3" s="417"/>
      <c r="G3" s="417"/>
      <c r="H3" s="417"/>
      <c r="I3" s="185">
        <f>I2</f>
        <v>187200</v>
      </c>
      <c r="J3" s="188"/>
      <c r="K3" s="188"/>
      <c r="L3" s="188"/>
      <c r="M3" s="188"/>
    </row>
    <row r="4" spans="1:13">
      <c r="A4" s="21">
        <v>16</v>
      </c>
      <c r="B4" s="21"/>
      <c r="C4" s="417" t="s">
        <v>1637</v>
      </c>
      <c r="D4" s="417"/>
      <c r="E4" s="417"/>
      <c r="F4" s="417"/>
      <c r="G4" s="417"/>
      <c r="H4" s="417"/>
      <c r="I4" s="185">
        <f>I3*18%</f>
        <v>33696</v>
      </c>
      <c r="K4" s="188"/>
      <c r="L4" s="188"/>
      <c r="M4" s="188"/>
    </row>
    <row r="5" spans="1:13">
      <c r="A5" s="21">
        <v>17</v>
      </c>
      <c r="B5" s="21"/>
      <c r="C5" s="417" t="s">
        <v>742</v>
      </c>
      <c r="D5" s="417"/>
      <c r="E5" s="417"/>
      <c r="F5" s="417"/>
      <c r="G5" s="417"/>
      <c r="H5" s="417"/>
      <c r="I5" s="185">
        <f>SUM(I3:I4)</f>
        <v>220896</v>
      </c>
      <c r="K5" s="188"/>
      <c r="L5" s="188"/>
      <c r="M5" s="188"/>
    </row>
    <row r="6" spans="1:13">
      <c r="A6" s="418"/>
      <c r="B6" s="419"/>
      <c r="C6" s="419"/>
      <c r="D6" s="419"/>
      <c r="E6" s="419"/>
      <c r="F6" s="419"/>
      <c r="G6" s="419"/>
      <c r="H6" s="419"/>
      <c r="I6" s="420"/>
    </row>
    <row r="7" spans="1:13" ht="140.25" customHeight="1">
      <c r="A7" s="128" t="s">
        <v>80</v>
      </c>
      <c r="B7" s="360" t="s">
        <v>1765</v>
      </c>
      <c r="C7" s="360"/>
      <c r="D7" s="360"/>
      <c r="E7" s="360"/>
      <c r="F7" s="360"/>
      <c r="G7" s="360"/>
      <c r="H7" s="360"/>
      <c r="I7" s="361"/>
      <c r="M7" s="188"/>
    </row>
  </sheetData>
  <mergeCells count="5">
    <mergeCell ref="C3:H3"/>
    <mergeCell ref="C4:H4"/>
    <mergeCell ref="C5:H5"/>
    <mergeCell ref="A6:I6"/>
    <mergeCell ref="B7:I7"/>
  </mergeCells>
  <printOptions horizontalCentered="1"/>
  <pageMargins left="0.31496062992125984" right="0.31496062992125984" top="0.55118110236220474" bottom="0.55118110236220474" header="0.31496062992125984" footer="0.31496062992125984"/>
  <pageSetup orientation="landscape" horizontalDpi="4294967292" r:id="rId1"/>
  <headerFooter>
    <oddFooter>Page &amp;P of &amp;N</oddFooter>
  </headerFooter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64216-11A1-458E-AA1B-57E8FD9019EA}">
  <dimension ref="A1:M10"/>
  <sheetViews>
    <sheetView zoomScaleNormal="100" workbookViewId="0">
      <selection activeCell="L4" sqref="L4"/>
    </sheetView>
  </sheetViews>
  <sheetFormatPr defaultColWidth="9.140625" defaultRowHeight="12.75"/>
  <cols>
    <col min="1" max="1" width="5.85546875" style="119" bestFit="1" customWidth="1"/>
    <col min="2" max="2" width="11" style="119" bestFit="1" customWidth="1"/>
    <col min="3" max="3" width="12" style="119" bestFit="1" customWidth="1"/>
    <col min="4" max="4" width="14.7109375" style="119" bestFit="1" customWidth="1"/>
    <col min="5" max="5" width="30.7109375" style="119" bestFit="1" customWidth="1"/>
    <col min="6" max="6" width="5" style="119" bestFit="1" customWidth="1"/>
    <col min="7" max="7" width="6.7109375" style="119" bestFit="1" customWidth="1"/>
    <col min="8" max="8" width="12.5703125" style="119" bestFit="1" customWidth="1"/>
    <col min="9" max="9" width="16" style="119" customWidth="1"/>
    <col min="10" max="10" width="11.42578125" style="119" bestFit="1" customWidth="1"/>
    <col min="11" max="11" width="12.5703125" style="119" bestFit="1" customWidth="1"/>
    <col min="12" max="12" width="13" style="119" customWidth="1"/>
    <col min="13" max="13" width="13.140625" style="119" customWidth="1"/>
    <col min="14" max="16384" width="9.140625" style="119"/>
  </cols>
  <sheetData>
    <row r="1" spans="1:13" ht="13.5" customHeight="1">
      <c r="A1" s="152" t="s">
        <v>0</v>
      </c>
      <c r="B1" s="152" t="s">
        <v>503</v>
      </c>
      <c r="C1" s="117" t="s">
        <v>1604</v>
      </c>
      <c r="D1" s="117" t="s">
        <v>778</v>
      </c>
      <c r="E1" s="173" t="s">
        <v>67</v>
      </c>
      <c r="F1" s="173" t="s">
        <v>3</v>
      </c>
      <c r="G1" s="117" t="s">
        <v>1582</v>
      </c>
      <c r="H1" s="152" t="s">
        <v>1583</v>
      </c>
      <c r="I1" s="152" t="s">
        <v>1584</v>
      </c>
      <c r="J1" s="119" t="s">
        <v>1250</v>
      </c>
      <c r="K1" s="119" t="s">
        <v>2009</v>
      </c>
      <c r="L1" s="119" t="s">
        <v>790</v>
      </c>
    </row>
    <row r="2" spans="1:13" ht="25.5">
      <c r="A2" s="246">
        <f>ROW()-1</f>
        <v>1</v>
      </c>
      <c r="B2" s="246" t="s">
        <v>2008</v>
      </c>
      <c r="C2" s="203" t="s">
        <v>522</v>
      </c>
      <c r="D2" s="203" t="s">
        <v>522</v>
      </c>
      <c r="E2" s="121" t="s">
        <v>2010</v>
      </c>
      <c r="F2" s="203" t="s">
        <v>1581</v>
      </c>
      <c r="G2" s="203">
        <v>1</v>
      </c>
      <c r="H2" s="240">
        <f>95*1.3*J2</f>
        <v>518700</v>
      </c>
      <c r="I2" s="240">
        <f>H2*G2</f>
        <v>518700</v>
      </c>
      <c r="J2" s="187">
        <v>4200</v>
      </c>
      <c r="K2" s="187">
        <v>4200</v>
      </c>
      <c r="L2" s="187"/>
      <c r="M2" s="187"/>
    </row>
    <row r="3" spans="1:13" ht="25.5">
      <c r="A3" s="246">
        <f t="shared" ref="A3:A8" si="0">ROW()-1</f>
        <v>2</v>
      </c>
      <c r="B3" s="246" t="s">
        <v>2008</v>
      </c>
      <c r="C3" s="203" t="s">
        <v>522</v>
      </c>
      <c r="D3" s="203" t="s">
        <v>522</v>
      </c>
      <c r="E3" s="121" t="s">
        <v>2011</v>
      </c>
      <c r="F3" s="203" t="s">
        <v>1581</v>
      </c>
      <c r="G3" s="203">
        <v>1</v>
      </c>
      <c r="H3" s="240">
        <f t="shared" ref="H3:H5" si="1">95*1.3*J3</f>
        <v>148200</v>
      </c>
      <c r="I3" s="240">
        <f>H3*G3</f>
        <v>148200</v>
      </c>
      <c r="J3" s="187">
        <v>1200</v>
      </c>
      <c r="K3" s="187">
        <v>1200</v>
      </c>
      <c r="L3" s="187"/>
      <c r="M3" s="187"/>
    </row>
    <row r="4" spans="1:13">
      <c r="A4" s="246">
        <f t="shared" si="0"/>
        <v>3</v>
      </c>
      <c r="B4" s="246" t="s">
        <v>2008</v>
      </c>
      <c r="C4" s="203" t="s">
        <v>522</v>
      </c>
      <c r="D4" s="203" t="s">
        <v>522</v>
      </c>
      <c r="E4" s="121" t="s">
        <v>2012</v>
      </c>
      <c r="F4" s="203" t="s">
        <v>1581</v>
      </c>
      <c r="G4" s="203">
        <v>1</v>
      </c>
      <c r="H4" s="240">
        <f t="shared" si="1"/>
        <v>494000</v>
      </c>
      <c r="I4" s="240">
        <f>H4*G4</f>
        <v>494000</v>
      </c>
      <c r="J4" s="187">
        <v>4000</v>
      </c>
      <c r="K4" s="187">
        <v>4000</v>
      </c>
      <c r="L4" s="187">
        <v>4050</v>
      </c>
      <c r="M4" s="187"/>
    </row>
    <row r="5" spans="1:13">
      <c r="A5" s="246">
        <f t="shared" si="0"/>
        <v>4</v>
      </c>
      <c r="B5" s="246" t="s">
        <v>2008</v>
      </c>
      <c r="C5" s="203" t="s">
        <v>522</v>
      </c>
      <c r="D5" s="203" t="s">
        <v>522</v>
      </c>
      <c r="E5" s="121" t="s">
        <v>2013</v>
      </c>
      <c r="F5" s="203" t="s">
        <v>1581</v>
      </c>
      <c r="G5" s="203">
        <v>1</v>
      </c>
      <c r="H5" s="240">
        <f t="shared" si="1"/>
        <v>642200</v>
      </c>
      <c r="I5" s="240">
        <f>H5*G5</f>
        <v>642200</v>
      </c>
      <c r="J5" s="187">
        <v>5200</v>
      </c>
      <c r="K5" s="187">
        <v>5200</v>
      </c>
      <c r="L5" s="187"/>
      <c r="M5" s="187"/>
    </row>
    <row r="6" spans="1:13">
      <c r="A6" s="246">
        <f t="shared" si="0"/>
        <v>5</v>
      </c>
      <c r="B6" s="21"/>
      <c r="C6" s="417" t="s">
        <v>76</v>
      </c>
      <c r="D6" s="417"/>
      <c r="E6" s="417"/>
      <c r="F6" s="417"/>
      <c r="G6" s="417"/>
      <c r="H6" s="417"/>
      <c r="I6" s="241">
        <f>SUM(I2:I5)</f>
        <v>1803100</v>
      </c>
      <c r="J6" s="188"/>
      <c r="K6" s="188"/>
      <c r="L6" s="188"/>
      <c r="M6" s="188"/>
    </row>
    <row r="7" spans="1:13">
      <c r="A7" s="246">
        <f t="shared" si="0"/>
        <v>6</v>
      </c>
      <c r="B7" s="21"/>
      <c r="C7" s="417" t="s">
        <v>1637</v>
      </c>
      <c r="D7" s="417"/>
      <c r="E7" s="417"/>
      <c r="F7" s="417"/>
      <c r="G7" s="417"/>
      <c r="H7" s="417"/>
      <c r="I7" s="241">
        <f>I6*18%</f>
        <v>324558</v>
      </c>
      <c r="K7" s="188"/>
      <c r="L7" s="188"/>
      <c r="M7" s="188"/>
    </row>
    <row r="8" spans="1:13">
      <c r="A8" s="246">
        <f t="shared" si="0"/>
        <v>7</v>
      </c>
      <c r="B8" s="21"/>
      <c r="C8" s="417" t="s">
        <v>742</v>
      </c>
      <c r="D8" s="417"/>
      <c r="E8" s="417"/>
      <c r="F8" s="417"/>
      <c r="G8" s="417"/>
      <c r="H8" s="417"/>
      <c r="I8" s="241">
        <f>SUM(I6:I7)</f>
        <v>2127658</v>
      </c>
      <c r="K8" s="188"/>
      <c r="L8" s="188"/>
      <c r="M8" s="188"/>
    </row>
    <row r="9" spans="1:13">
      <c r="A9" s="418"/>
      <c r="B9" s="419"/>
      <c r="C9" s="419"/>
      <c r="D9" s="419"/>
      <c r="E9" s="419"/>
      <c r="F9" s="419"/>
      <c r="G9" s="419"/>
      <c r="H9" s="419"/>
      <c r="I9" s="420"/>
    </row>
    <row r="10" spans="1:13" ht="140.25" customHeight="1">
      <c r="A10" s="128" t="s">
        <v>80</v>
      </c>
      <c r="B10" s="360" t="s">
        <v>1765</v>
      </c>
      <c r="C10" s="360"/>
      <c r="D10" s="360"/>
      <c r="E10" s="360"/>
      <c r="F10" s="360"/>
      <c r="G10" s="360"/>
      <c r="H10" s="360"/>
      <c r="I10" s="361"/>
      <c r="M10" s="188"/>
    </row>
  </sheetData>
  <mergeCells count="5">
    <mergeCell ref="C6:H6"/>
    <mergeCell ref="C7:H7"/>
    <mergeCell ref="C8:H8"/>
    <mergeCell ref="A9:I9"/>
    <mergeCell ref="B10:I10"/>
  </mergeCells>
  <printOptions horizontalCentered="1"/>
  <pageMargins left="0.31496062992125984" right="0.31496062992125984" top="0.55118110236220474" bottom="0.55118110236220474" header="0.31496062992125984" footer="0.31496062992125984"/>
  <pageSetup orientation="landscape" horizontalDpi="4294967292" r:id="rId1"/>
  <headerFooter>
    <oddFooter>Page &amp;P of &amp;N</oddFooter>
  </headerFooter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8D02A-6F75-470D-A882-9C7C640854A0}">
  <dimension ref="A1:M9"/>
  <sheetViews>
    <sheetView zoomScaleNormal="100" workbookViewId="0">
      <selection activeCell="D2" sqref="D2:D4"/>
    </sheetView>
  </sheetViews>
  <sheetFormatPr defaultColWidth="9.140625" defaultRowHeight="12.75"/>
  <cols>
    <col min="1" max="1" width="5.85546875" style="119" bestFit="1" customWidth="1"/>
    <col min="2" max="2" width="11" style="119" bestFit="1" customWidth="1"/>
    <col min="3" max="3" width="17.42578125" style="119" customWidth="1"/>
    <col min="4" max="4" width="20.42578125" style="119" customWidth="1"/>
    <col min="5" max="5" width="30.7109375" style="119" bestFit="1" customWidth="1"/>
    <col min="6" max="6" width="5" style="119" bestFit="1" customWidth="1"/>
    <col min="7" max="7" width="6.7109375" style="119" bestFit="1" customWidth="1"/>
    <col min="8" max="8" width="12.5703125" style="119" bestFit="1" customWidth="1"/>
    <col min="9" max="9" width="16" style="119" customWidth="1"/>
    <col min="10" max="10" width="11.42578125" style="119" bestFit="1" customWidth="1"/>
    <col min="11" max="11" width="12.5703125" style="119" bestFit="1" customWidth="1"/>
    <col min="12" max="12" width="13" style="119" customWidth="1"/>
    <col min="13" max="13" width="13.140625" style="119" customWidth="1"/>
    <col min="14" max="16384" width="9.140625" style="119"/>
  </cols>
  <sheetData>
    <row r="1" spans="1:13" ht="13.5" customHeight="1">
      <c r="A1" s="152" t="s">
        <v>0</v>
      </c>
      <c r="B1" s="152" t="s">
        <v>503</v>
      </c>
      <c r="C1" s="117" t="s">
        <v>1604</v>
      </c>
      <c r="D1" s="117" t="s">
        <v>778</v>
      </c>
      <c r="E1" s="173" t="s">
        <v>67</v>
      </c>
      <c r="F1" s="173" t="s">
        <v>3</v>
      </c>
      <c r="G1" s="117" t="s">
        <v>1582</v>
      </c>
      <c r="H1" s="152" t="s">
        <v>1583</v>
      </c>
      <c r="I1" s="152" t="s">
        <v>1584</v>
      </c>
      <c r="J1" s="119" t="s">
        <v>1250</v>
      </c>
      <c r="K1" s="119" t="s">
        <v>2009</v>
      </c>
    </row>
    <row r="2" spans="1:13" ht="63.75">
      <c r="A2" s="247">
        <f>ROW()-1</f>
        <v>1</v>
      </c>
      <c r="B2" s="247">
        <v>3000120009</v>
      </c>
      <c r="C2" s="203" t="s">
        <v>2014</v>
      </c>
      <c r="D2" s="121" t="s">
        <v>2015</v>
      </c>
      <c r="E2" s="121" t="s">
        <v>2016</v>
      </c>
      <c r="F2" s="203" t="s">
        <v>121</v>
      </c>
      <c r="G2" s="203">
        <v>130</v>
      </c>
      <c r="H2" s="240">
        <f>95*1.3*J2</f>
        <v>0</v>
      </c>
      <c r="I2" s="240">
        <f>H2*G2</f>
        <v>0</v>
      </c>
      <c r="J2" s="187"/>
      <c r="K2" s="187"/>
      <c r="L2" s="187"/>
      <c r="M2" s="187"/>
    </row>
    <row r="3" spans="1:13" ht="114.75">
      <c r="A3" s="247">
        <f t="shared" ref="A3:A7" si="0">ROW()-1</f>
        <v>2</v>
      </c>
      <c r="B3" s="247">
        <v>3000120009</v>
      </c>
      <c r="C3" s="203" t="s">
        <v>2017</v>
      </c>
      <c r="D3" s="121" t="s">
        <v>2018</v>
      </c>
      <c r="E3" s="121" t="s">
        <v>2019</v>
      </c>
      <c r="F3" s="203" t="s">
        <v>121</v>
      </c>
      <c r="G3" s="203">
        <v>150</v>
      </c>
      <c r="H3" s="240">
        <f t="shared" ref="H3:H4" si="1">95*1.3*J3</f>
        <v>0</v>
      </c>
      <c r="I3" s="240">
        <f>H3*G3</f>
        <v>0</v>
      </c>
      <c r="J3" s="187"/>
      <c r="K3" s="187"/>
      <c r="L3" s="187"/>
      <c r="M3" s="187"/>
    </row>
    <row r="4" spans="1:13" ht="63.75">
      <c r="A4" s="247">
        <f t="shared" si="0"/>
        <v>3</v>
      </c>
      <c r="B4" s="247">
        <v>3000120009</v>
      </c>
      <c r="C4" s="203" t="s">
        <v>2020</v>
      </c>
      <c r="D4" s="121" t="s">
        <v>2021</v>
      </c>
      <c r="E4" s="121" t="s">
        <v>2022</v>
      </c>
      <c r="F4" s="203" t="s">
        <v>121</v>
      </c>
      <c r="G4" s="203">
        <v>100</v>
      </c>
      <c r="H4" s="240">
        <f t="shared" si="1"/>
        <v>0</v>
      </c>
      <c r="I4" s="240">
        <f>H4*G4</f>
        <v>0</v>
      </c>
      <c r="J4" s="187"/>
      <c r="K4" s="187"/>
      <c r="L4" s="187"/>
      <c r="M4" s="187"/>
    </row>
    <row r="5" spans="1:13">
      <c r="A5" s="247">
        <f t="shared" si="0"/>
        <v>4</v>
      </c>
      <c r="B5" s="21"/>
      <c r="C5" s="417" t="s">
        <v>76</v>
      </c>
      <c r="D5" s="417"/>
      <c r="E5" s="417"/>
      <c r="F5" s="417"/>
      <c r="G5" s="417"/>
      <c r="H5" s="417"/>
      <c r="I5" s="241">
        <f>SUM(I2:I4)</f>
        <v>0</v>
      </c>
      <c r="J5" s="188"/>
      <c r="K5" s="188"/>
      <c r="L5" s="188"/>
      <c r="M5" s="188"/>
    </row>
    <row r="6" spans="1:13">
      <c r="A6" s="247">
        <f t="shared" si="0"/>
        <v>5</v>
      </c>
      <c r="B6" s="21"/>
      <c r="C6" s="417" t="s">
        <v>1637</v>
      </c>
      <c r="D6" s="417"/>
      <c r="E6" s="417"/>
      <c r="F6" s="417"/>
      <c r="G6" s="417"/>
      <c r="H6" s="417"/>
      <c r="I6" s="241">
        <f>I5*18%</f>
        <v>0</v>
      </c>
      <c r="K6" s="188"/>
      <c r="L6" s="188"/>
      <c r="M6" s="188"/>
    </row>
    <row r="7" spans="1:13">
      <c r="A7" s="247">
        <f t="shared" si="0"/>
        <v>6</v>
      </c>
      <c r="B7" s="21"/>
      <c r="C7" s="417" t="s">
        <v>742</v>
      </c>
      <c r="D7" s="417"/>
      <c r="E7" s="417"/>
      <c r="F7" s="417"/>
      <c r="G7" s="417"/>
      <c r="H7" s="417"/>
      <c r="I7" s="241">
        <f>SUM(I5:I6)</f>
        <v>0</v>
      </c>
      <c r="K7" s="188"/>
      <c r="L7" s="188"/>
      <c r="M7" s="188"/>
    </row>
    <row r="8" spans="1:13">
      <c r="A8" s="418"/>
      <c r="B8" s="419"/>
      <c r="C8" s="419"/>
      <c r="D8" s="419"/>
      <c r="E8" s="419"/>
      <c r="F8" s="419"/>
      <c r="G8" s="419"/>
      <c r="H8" s="419"/>
      <c r="I8" s="420"/>
    </row>
    <row r="9" spans="1:13" ht="140.25" customHeight="1">
      <c r="A9" s="128" t="s">
        <v>80</v>
      </c>
      <c r="B9" s="360" t="s">
        <v>1765</v>
      </c>
      <c r="C9" s="360"/>
      <c r="D9" s="360"/>
      <c r="E9" s="360"/>
      <c r="F9" s="360"/>
      <c r="G9" s="360"/>
      <c r="H9" s="360"/>
      <c r="I9" s="361"/>
      <c r="M9" s="188"/>
    </row>
  </sheetData>
  <mergeCells count="5">
    <mergeCell ref="C5:H5"/>
    <mergeCell ref="C6:H6"/>
    <mergeCell ref="C7:H7"/>
    <mergeCell ref="A8:I8"/>
    <mergeCell ref="B9:I9"/>
  </mergeCells>
  <printOptions horizontalCentered="1"/>
  <pageMargins left="0.31496062992125984" right="0.31496062992125984" top="0.55118110236220474" bottom="0.55118110236220474" header="0.31496062992125984" footer="0.31496062992125984"/>
  <pageSetup orientation="landscape" horizontalDpi="4294967292" r:id="rId1"/>
  <headerFooter>
    <oddFooter>Page &amp;P of &amp;N</oddFooter>
  </headerFooter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96884-F1EC-45F9-AE52-CE2EEAA9157D}">
  <dimension ref="A1:M12"/>
  <sheetViews>
    <sheetView zoomScaleNormal="100" workbookViewId="0"/>
  </sheetViews>
  <sheetFormatPr defaultColWidth="9.140625" defaultRowHeight="12.75"/>
  <cols>
    <col min="1" max="1" width="5.85546875" style="119" bestFit="1" customWidth="1"/>
    <col min="2" max="2" width="11" style="119" bestFit="1" customWidth="1"/>
    <col min="3" max="3" width="17.42578125" style="119" customWidth="1"/>
    <col min="4" max="4" width="20.42578125" style="119" customWidth="1"/>
    <col min="5" max="5" width="30.7109375" style="119" bestFit="1" customWidth="1"/>
    <col min="6" max="6" width="5" style="119" bestFit="1" customWidth="1"/>
    <col min="7" max="7" width="6.7109375" style="119" bestFit="1" customWidth="1"/>
    <col min="8" max="8" width="12.5703125" style="119" bestFit="1" customWidth="1"/>
    <col min="9" max="9" width="16" style="119" customWidth="1"/>
    <col min="10" max="10" width="11.42578125" style="119" bestFit="1" customWidth="1"/>
    <col min="11" max="11" width="12.5703125" style="119" bestFit="1" customWidth="1"/>
    <col min="12" max="12" width="13" style="119" customWidth="1"/>
    <col min="13" max="13" width="13.140625" style="119" customWidth="1"/>
    <col min="14" max="16384" width="9.140625" style="119"/>
  </cols>
  <sheetData>
    <row r="1" spans="1:13" ht="13.5" customHeight="1">
      <c r="A1" s="152" t="s">
        <v>0</v>
      </c>
      <c r="B1" s="152" t="s">
        <v>503</v>
      </c>
      <c r="C1" s="117" t="s">
        <v>1604</v>
      </c>
      <c r="D1" s="117" t="s">
        <v>778</v>
      </c>
      <c r="E1" s="173" t="s">
        <v>67</v>
      </c>
      <c r="F1" s="173" t="s">
        <v>3</v>
      </c>
      <c r="G1" s="117" t="s">
        <v>1582</v>
      </c>
      <c r="H1" s="152" t="s">
        <v>1583</v>
      </c>
      <c r="I1" s="152" t="s">
        <v>1584</v>
      </c>
      <c r="J1" s="119" t="s">
        <v>1250</v>
      </c>
      <c r="K1" s="421" t="s">
        <v>1864</v>
      </c>
      <c r="L1" s="421"/>
    </row>
    <row r="2" spans="1:13" ht="51">
      <c r="A2" s="249">
        <f>ROW()-1</f>
        <v>1</v>
      </c>
      <c r="B2" s="249">
        <v>3000120324</v>
      </c>
      <c r="C2" s="203" t="s">
        <v>2030</v>
      </c>
      <c r="D2" s="121" t="s">
        <v>2031</v>
      </c>
      <c r="E2" s="121" t="s">
        <v>2032</v>
      </c>
      <c r="F2" s="203" t="s">
        <v>121</v>
      </c>
      <c r="G2" s="203">
        <v>10</v>
      </c>
      <c r="H2" s="240"/>
      <c r="I2" s="240">
        <f>H2*G2</f>
        <v>0</v>
      </c>
      <c r="J2" s="187"/>
      <c r="K2" s="188">
        <v>40182</v>
      </c>
      <c r="L2" s="188" t="s">
        <v>2051</v>
      </c>
      <c r="M2" s="187"/>
    </row>
    <row r="3" spans="1:13" ht="63.75">
      <c r="A3" s="249">
        <f t="shared" ref="A3:A10" si="0">ROW()-1</f>
        <v>2</v>
      </c>
      <c r="B3" s="249">
        <v>3000120324</v>
      </c>
      <c r="C3" s="203" t="s">
        <v>2033</v>
      </c>
      <c r="D3" s="121" t="s">
        <v>2034</v>
      </c>
      <c r="E3" s="121" t="s">
        <v>2035</v>
      </c>
      <c r="F3" s="203" t="s">
        <v>121</v>
      </c>
      <c r="G3" s="203">
        <v>20</v>
      </c>
      <c r="H3" s="240"/>
      <c r="I3" s="240">
        <f>H3*G3</f>
        <v>0</v>
      </c>
      <c r="J3" s="187"/>
      <c r="K3" s="188">
        <v>9437</v>
      </c>
      <c r="L3" s="188" t="s">
        <v>2051</v>
      </c>
      <c r="M3" s="187"/>
    </row>
    <row r="4" spans="1:13" ht="38.25">
      <c r="A4" s="249">
        <f t="shared" si="0"/>
        <v>3</v>
      </c>
      <c r="B4" s="249">
        <v>3000120324</v>
      </c>
      <c r="C4" s="203" t="s">
        <v>2036</v>
      </c>
      <c r="D4" s="121" t="s">
        <v>2037</v>
      </c>
      <c r="E4" s="121" t="s">
        <v>2038</v>
      </c>
      <c r="F4" s="203" t="s">
        <v>121</v>
      </c>
      <c r="G4" s="203">
        <v>5</v>
      </c>
      <c r="H4" s="240"/>
      <c r="I4" s="240">
        <f>H4*G4</f>
        <v>0</v>
      </c>
      <c r="J4" s="187"/>
      <c r="K4" s="188"/>
      <c r="L4" s="188"/>
      <c r="M4" s="187"/>
    </row>
    <row r="5" spans="1:13" ht="76.5">
      <c r="A5" s="249">
        <f t="shared" si="0"/>
        <v>4</v>
      </c>
      <c r="B5" s="249">
        <v>3000120324</v>
      </c>
      <c r="C5" s="203" t="s">
        <v>2039</v>
      </c>
      <c r="D5" s="121" t="s">
        <v>2040</v>
      </c>
      <c r="E5" s="121" t="s">
        <v>2041</v>
      </c>
      <c r="F5" s="203" t="s">
        <v>121</v>
      </c>
      <c r="G5" s="203">
        <v>10</v>
      </c>
      <c r="H5" s="240"/>
      <c r="I5" s="240"/>
      <c r="J5" s="187"/>
      <c r="K5" s="188">
        <v>16398</v>
      </c>
      <c r="L5" s="188" t="s">
        <v>2051</v>
      </c>
      <c r="M5" s="187"/>
    </row>
    <row r="6" spans="1:13" ht="153">
      <c r="A6" s="249">
        <f t="shared" si="0"/>
        <v>5</v>
      </c>
      <c r="B6" s="249">
        <v>3000120324</v>
      </c>
      <c r="C6" s="203" t="s">
        <v>2042</v>
      </c>
      <c r="D6" s="121" t="s">
        <v>2043</v>
      </c>
      <c r="E6" s="121" t="s">
        <v>2044</v>
      </c>
      <c r="F6" s="203" t="s">
        <v>221</v>
      </c>
      <c r="G6" s="203">
        <v>24</v>
      </c>
      <c r="H6" s="240"/>
      <c r="I6" s="240"/>
      <c r="J6" s="187"/>
      <c r="K6" s="188"/>
      <c r="L6" s="188"/>
      <c r="M6" s="187"/>
    </row>
    <row r="7" spans="1:13" ht="165.75">
      <c r="A7" s="249">
        <f t="shared" si="0"/>
        <v>6</v>
      </c>
      <c r="B7" s="249">
        <v>3000120324</v>
      </c>
      <c r="C7" s="203" t="s">
        <v>2045</v>
      </c>
      <c r="D7" s="121" t="s">
        <v>2046</v>
      </c>
      <c r="E7" s="121" t="s">
        <v>2047</v>
      </c>
      <c r="F7" s="203" t="s">
        <v>221</v>
      </c>
      <c r="G7" s="203">
        <v>10</v>
      </c>
      <c r="H7" s="240"/>
      <c r="I7" s="240"/>
      <c r="J7" s="187"/>
      <c r="K7" s="188"/>
      <c r="L7" s="188"/>
      <c r="M7" s="187"/>
    </row>
    <row r="8" spans="1:13">
      <c r="A8" s="249">
        <f t="shared" si="0"/>
        <v>7</v>
      </c>
      <c r="B8" s="21"/>
      <c r="C8" s="417" t="s">
        <v>76</v>
      </c>
      <c r="D8" s="417"/>
      <c r="E8" s="417"/>
      <c r="F8" s="417"/>
      <c r="G8" s="417"/>
      <c r="H8" s="417"/>
      <c r="I8" s="241">
        <f>SUM(I2:I4)</f>
        <v>0</v>
      </c>
      <c r="J8" s="188"/>
      <c r="K8" s="188"/>
      <c r="L8" s="188"/>
      <c r="M8" s="188"/>
    </row>
    <row r="9" spans="1:13">
      <c r="A9" s="249">
        <f t="shared" si="0"/>
        <v>8</v>
      </c>
      <c r="B9" s="21"/>
      <c r="C9" s="417" t="s">
        <v>1637</v>
      </c>
      <c r="D9" s="417"/>
      <c r="E9" s="417"/>
      <c r="F9" s="417"/>
      <c r="G9" s="417"/>
      <c r="H9" s="417"/>
      <c r="I9" s="241">
        <f>I8*18%</f>
        <v>0</v>
      </c>
      <c r="K9" s="188"/>
      <c r="L9" s="188"/>
      <c r="M9" s="188"/>
    </row>
    <row r="10" spans="1:13">
      <c r="A10" s="249">
        <f t="shared" si="0"/>
        <v>9</v>
      </c>
      <c r="B10" s="21"/>
      <c r="C10" s="417" t="s">
        <v>742</v>
      </c>
      <c r="D10" s="417"/>
      <c r="E10" s="417"/>
      <c r="F10" s="417"/>
      <c r="G10" s="417"/>
      <c r="H10" s="417"/>
      <c r="I10" s="241">
        <f>SUM(I8:I9)</f>
        <v>0</v>
      </c>
      <c r="K10" s="188"/>
      <c r="L10" s="188"/>
      <c r="M10" s="188"/>
    </row>
    <row r="11" spans="1:13">
      <c r="A11" s="418"/>
      <c r="B11" s="419"/>
      <c r="C11" s="419"/>
      <c r="D11" s="419"/>
      <c r="E11" s="419"/>
      <c r="F11" s="419"/>
      <c r="G11" s="419"/>
      <c r="H11" s="419"/>
      <c r="I11" s="420"/>
    </row>
    <row r="12" spans="1:13" ht="140.25" customHeight="1">
      <c r="A12" s="128" t="s">
        <v>80</v>
      </c>
      <c r="B12" s="360" t="s">
        <v>1765</v>
      </c>
      <c r="C12" s="360"/>
      <c r="D12" s="360"/>
      <c r="E12" s="360"/>
      <c r="F12" s="360"/>
      <c r="G12" s="360"/>
      <c r="H12" s="360"/>
      <c r="I12" s="361"/>
      <c r="M12" s="188"/>
    </row>
  </sheetData>
  <mergeCells count="6">
    <mergeCell ref="B12:I12"/>
    <mergeCell ref="K1:L1"/>
    <mergeCell ref="C8:H8"/>
    <mergeCell ref="C9:H9"/>
    <mergeCell ref="C10:H10"/>
    <mergeCell ref="A11:I11"/>
  </mergeCells>
  <printOptions horizontalCentered="1"/>
  <pageMargins left="0.31496062992125984" right="0.31496062992125984" top="0.55118110236220474" bottom="0.55118110236220474" header="0.31496062992125984" footer="0.31496062992125984"/>
  <pageSetup orientation="landscape" horizontalDpi="4294967292" r:id="rId1"/>
  <headerFooter>
    <oddFooter>Page &amp;P of &amp;N</oddFooter>
  </headerFooter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797B0-57BF-4171-AE96-B48A9FDD8F9E}">
  <dimension ref="A1:M10"/>
  <sheetViews>
    <sheetView zoomScaleNormal="100" workbookViewId="0">
      <selection activeCell="I1" sqref="I1"/>
    </sheetView>
  </sheetViews>
  <sheetFormatPr defaultColWidth="9.140625" defaultRowHeight="12.75"/>
  <cols>
    <col min="1" max="1" width="5.85546875" style="256" bestFit="1" customWidth="1"/>
    <col min="2" max="2" width="11" style="256" bestFit="1" customWidth="1"/>
    <col min="3" max="3" width="17.42578125" style="256" customWidth="1"/>
    <col min="4" max="4" width="20.42578125" style="256" customWidth="1"/>
    <col min="5" max="5" width="30.7109375" style="256" bestFit="1" customWidth="1"/>
    <col min="6" max="6" width="7" style="256" customWidth="1"/>
    <col min="7" max="7" width="8.42578125" style="256" customWidth="1"/>
    <col min="8" max="8" width="12.5703125" style="256" bestFit="1" customWidth="1"/>
    <col min="9" max="9" width="16" style="256" customWidth="1"/>
    <col min="10" max="10" width="11.42578125" style="256" bestFit="1" customWidth="1"/>
    <col min="11" max="11" width="12.5703125" style="256" bestFit="1" customWidth="1"/>
    <col min="12" max="12" width="13" style="256" customWidth="1"/>
    <col min="13" max="13" width="13.140625" style="256" customWidth="1"/>
    <col min="14" max="16384" width="9.140625" style="256"/>
  </cols>
  <sheetData>
    <row r="1" spans="1:13" ht="13.5" customHeight="1">
      <c r="A1" s="253" t="s">
        <v>0</v>
      </c>
      <c r="B1" s="253" t="s">
        <v>503</v>
      </c>
      <c r="C1" s="254" t="s">
        <v>1604</v>
      </c>
      <c r="D1" s="254" t="s">
        <v>778</v>
      </c>
      <c r="E1" s="255" t="s">
        <v>67</v>
      </c>
      <c r="F1" s="255" t="s">
        <v>3</v>
      </c>
      <c r="G1" s="254" t="s">
        <v>1582</v>
      </c>
      <c r="H1" s="253" t="s">
        <v>1583</v>
      </c>
      <c r="I1" s="253" t="s">
        <v>1584</v>
      </c>
      <c r="J1" s="256" t="s">
        <v>1250</v>
      </c>
      <c r="K1" s="256" t="s">
        <v>1603</v>
      </c>
      <c r="L1" s="256" t="s">
        <v>145</v>
      </c>
    </row>
    <row r="2" spans="1:13" ht="102">
      <c r="A2" s="257">
        <f>ROW()-1</f>
        <v>1</v>
      </c>
      <c r="B2" s="257">
        <v>3000121261</v>
      </c>
      <c r="C2" s="258" t="s">
        <v>2052</v>
      </c>
      <c r="D2" s="258" t="s">
        <v>2053</v>
      </c>
      <c r="E2" s="259" t="s">
        <v>2054</v>
      </c>
      <c r="F2" s="260" t="s">
        <v>121</v>
      </c>
      <c r="G2" s="260">
        <v>20</v>
      </c>
      <c r="H2" s="261">
        <f>93*1.33*J2</f>
        <v>9276.75</v>
      </c>
      <c r="I2" s="261">
        <f>H2*G2</f>
        <v>185535</v>
      </c>
      <c r="J2" s="262">
        <v>75</v>
      </c>
      <c r="K2" s="262">
        <v>75</v>
      </c>
      <c r="L2" s="262">
        <v>150</v>
      </c>
      <c r="M2" s="262"/>
    </row>
    <row r="3" spans="1:13" ht="102">
      <c r="A3" s="257">
        <f t="shared" ref="A3:A8" si="0">ROW()-1</f>
        <v>2</v>
      </c>
      <c r="B3" s="257">
        <v>3000121261</v>
      </c>
      <c r="C3" s="258" t="s">
        <v>2055</v>
      </c>
      <c r="D3" s="258" t="s">
        <v>2056</v>
      </c>
      <c r="E3" s="259" t="s">
        <v>2057</v>
      </c>
      <c r="F3" s="260" t="s">
        <v>121</v>
      </c>
      <c r="G3" s="260">
        <v>24</v>
      </c>
      <c r="H3" s="261">
        <f t="shared" ref="H3:H5" si="1">93*1.33*J3</f>
        <v>3463.32</v>
      </c>
      <c r="I3" s="261">
        <f t="shared" ref="I3:I5" si="2">H3*G3</f>
        <v>83119.680000000008</v>
      </c>
      <c r="J3" s="262">
        <v>28</v>
      </c>
      <c r="K3" s="262">
        <v>28</v>
      </c>
      <c r="L3" s="262">
        <v>23</v>
      </c>
      <c r="M3" s="262"/>
    </row>
    <row r="4" spans="1:13" ht="127.5">
      <c r="A4" s="257">
        <f t="shared" si="0"/>
        <v>3</v>
      </c>
      <c r="B4" s="257">
        <v>3000121261</v>
      </c>
      <c r="C4" s="258" t="s">
        <v>2058</v>
      </c>
      <c r="D4" s="258" t="s">
        <v>2059</v>
      </c>
      <c r="E4" s="259" t="s">
        <v>2060</v>
      </c>
      <c r="F4" s="260" t="s">
        <v>121</v>
      </c>
      <c r="G4" s="260">
        <v>36</v>
      </c>
      <c r="H4" s="261">
        <f t="shared" si="1"/>
        <v>3463.32</v>
      </c>
      <c r="I4" s="261">
        <f t="shared" si="2"/>
        <v>124679.52</v>
      </c>
      <c r="J4" s="262">
        <v>28</v>
      </c>
      <c r="K4" s="262">
        <v>28</v>
      </c>
      <c r="L4" s="262">
        <v>150</v>
      </c>
      <c r="M4" s="262"/>
    </row>
    <row r="5" spans="1:13" ht="63.75">
      <c r="A5" s="257">
        <f t="shared" si="0"/>
        <v>4</v>
      </c>
      <c r="B5" s="257">
        <v>3000121261</v>
      </c>
      <c r="C5" s="258" t="s">
        <v>2061</v>
      </c>
      <c r="D5" s="258" t="s">
        <v>2062</v>
      </c>
      <c r="E5" s="259" t="s">
        <v>2063</v>
      </c>
      <c r="F5" s="260" t="s">
        <v>121</v>
      </c>
      <c r="G5" s="260">
        <v>20</v>
      </c>
      <c r="H5" s="261">
        <f t="shared" si="1"/>
        <v>4947.6000000000004</v>
      </c>
      <c r="I5" s="261">
        <f t="shared" si="2"/>
        <v>98952</v>
      </c>
      <c r="J5" s="262">
        <v>40</v>
      </c>
      <c r="K5" s="262">
        <v>40</v>
      </c>
      <c r="L5" s="262">
        <v>34</v>
      </c>
      <c r="M5" s="262"/>
    </row>
    <row r="6" spans="1:13">
      <c r="A6" s="257">
        <f t="shared" si="0"/>
        <v>5</v>
      </c>
      <c r="B6" s="263"/>
      <c r="C6" s="422" t="s">
        <v>76</v>
      </c>
      <c r="D6" s="422"/>
      <c r="E6" s="422"/>
      <c r="F6" s="422"/>
      <c r="G6" s="422"/>
      <c r="H6" s="422"/>
      <c r="I6" s="241">
        <f>SUM(I2:I5)</f>
        <v>492286.2</v>
      </c>
      <c r="J6" s="264"/>
      <c r="K6" s="264"/>
      <c r="L6" s="264"/>
      <c r="M6" s="264"/>
    </row>
    <row r="7" spans="1:13">
      <c r="A7" s="257">
        <f t="shared" si="0"/>
        <v>6</v>
      </c>
      <c r="B7" s="263"/>
      <c r="C7" s="422" t="s">
        <v>1637</v>
      </c>
      <c r="D7" s="422"/>
      <c r="E7" s="422"/>
      <c r="F7" s="422"/>
      <c r="G7" s="422"/>
      <c r="H7" s="422"/>
      <c r="I7" s="241">
        <f>I6*18%</f>
        <v>88611.516000000003</v>
      </c>
      <c r="K7" s="264"/>
      <c r="L7" s="264"/>
      <c r="M7" s="264"/>
    </row>
    <row r="8" spans="1:13">
      <c r="A8" s="257">
        <f t="shared" si="0"/>
        <v>7</v>
      </c>
      <c r="B8" s="263"/>
      <c r="C8" s="422" t="s">
        <v>742</v>
      </c>
      <c r="D8" s="422"/>
      <c r="E8" s="422"/>
      <c r="F8" s="422"/>
      <c r="G8" s="422"/>
      <c r="H8" s="422"/>
      <c r="I8" s="241">
        <f>SUM(I6:I7)</f>
        <v>580897.71600000001</v>
      </c>
      <c r="K8" s="264"/>
      <c r="L8" s="264"/>
      <c r="M8" s="264"/>
    </row>
    <row r="9" spans="1:13">
      <c r="A9" s="423"/>
      <c r="B9" s="424"/>
      <c r="C9" s="424"/>
      <c r="D9" s="424"/>
      <c r="E9" s="424"/>
      <c r="F9" s="424"/>
      <c r="G9" s="424"/>
      <c r="H9" s="424"/>
      <c r="I9" s="425"/>
    </row>
    <row r="10" spans="1:13" ht="140.25" customHeight="1">
      <c r="A10" s="265" t="s">
        <v>80</v>
      </c>
      <c r="B10" s="426" t="s">
        <v>1765</v>
      </c>
      <c r="C10" s="426"/>
      <c r="D10" s="426"/>
      <c r="E10" s="426"/>
      <c r="F10" s="426"/>
      <c r="G10" s="426"/>
      <c r="H10" s="426"/>
      <c r="I10" s="427"/>
      <c r="M10" s="264"/>
    </row>
  </sheetData>
  <mergeCells count="5">
    <mergeCell ref="C6:H6"/>
    <mergeCell ref="C7:H7"/>
    <mergeCell ref="C8:H8"/>
    <mergeCell ref="A9:I9"/>
    <mergeCell ref="B10:I10"/>
  </mergeCells>
  <printOptions horizontalCentered="1"/>
  <pageMargins left="0.31496062992125984" right="0.31496062992125984" top="0.55118110236220474" bottom="0.55118110236220474" header="0.31496062992125984" footer="0.31496062992125984"/>
  <pageSetup orientation="landscape" horizontalDpi="4294967292" r:id="rId1"/>
  <headerFooter>
    <oddFooter>Page &amp;P of &amp;N</oddFooter>
  </headerFooter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B0917-426B-467E-ADA7-66D3ADF1AB05}">
  <dimension ref="A1:M7"/>
  <sheetViews>
    <sheetView zoomScaleNormal="100" workbookViewId="0">
      <selection activeCell="C3" sqref="C3:H3"/>
    </sheetView>
  </sheetViews>
  <sheetFormatPr defaultColWidth="9.140625" defaultRowHeight="12.75"/>
  <cols>
    <col min="1" max="1" width="5.85546875" style="119" bestFit="1" customWidth="1"/>
    <col min="2" max="2" width="11" style="119" bestFit="1" customWidth="1"/>
    <col min="3" max="3" width="17.42578125" style="119" customWidth="1"/>
    <col min="4" max="4" width="20.42578125" style="119" customWidth="1"/>
    <col min="5" max="5" width="30.7109375" style="119" bestFit="1" customWidth="1"/>
    <col min="6" max="6" width="5" style="119" bestFit="1" customWidth="1"/>
    <col min="7" max="7" width="6.7109375" style="119" bestFit="1" customWidth="1"/>
    <col min="8" max="8" width="12.5703125" style="119" bestFit="1" customWidth="1"/>
    <col min="9" max="9" width="16" style="119" customWidth="1"/>
    <col min="10" max="10" width="11.42578125" style="119" bestFit="1" customWidth="1"/>
    <col min="11" max="11" width="12.5703125" style="119" bestFit="1" customWidth="1"/>
    <col min="12" max="12" width="13" style="119" customWidth="1"/>
    <col min="13" max="13" width="13.140625" style="119" customWidth="1"/>
    <col min="14" max="16384" width="9.140625" style="119"/>
  </cols>
  <sheetData>
    <row r="1" spans="1:13" ht="13.5" customHeight="1">
      <c r="A1" s="152" t="s">
        <v>0</v>
      </c>
      <c r="B1" s="152" t="s">
        <v>503</v>
      </c>
      <c r="C1" s="117" t="s">
        <v>1604</v>
      </c>
      <c r="D1" s="117" t="s">
        <v>778</v>
      </c>
      <c r="E1" s="173" t="s">
        <v>67</v>
      </c>
      <c r="F1" s="173" t="s">
        <v>3</v>
      </c>
      <c r="G1" s="117" t="s">
        <v>1582</v>
      </c>
      <c r="H1" s="152" t="s">
        <v>1583</v>
      </c>
      <c r="I1" s="152" t="s">
        <v>1584</v>
      </c>
      <c r="J1" s="119" t="s">
        <v>1250</v>
      </c>
      <c r="K1" s="119" t="s">
        <v>2009</v>
      </c>
    </row>
    <row r="2" spans="1:13" ht="38.25">
      <c r="A2" s="252">
        <f>ROW()-1</f>
        <v>1</v>
      </c>
      <c r="B2" s="252">
        <v>3000121044</v>
      </c>
      <c r="C2" s="237" t="s">
        <v>2049</v>
      </c>
      <c r="D2" s="237" t="s">
        <v>2048</v>
      </c>
      <c r="E2" s="121" t="s">
        <v>2050</v>
      </c>
      <c r="F2" s="203" t="s">
        <v>1581</v>
      </c>
      <c r="G2" s="203">
        <v>12</v>
      </c>
      <c r="H2" s="240"/>
      <c r="I2" s="240">
        <f>H2*G2</f>
        <v>0</v>
      </c>
      <c r="J2" s="187"/>
      <c r="K2" s="187" t="s">
        <v>116</v>
      </c>
      <c r="L2" s="187"/>
      <c r="M2" s="187"/>
    </row>
    <row r="3" spans="1:13">
      <c r="A3" s="252">
        <f t="shared" ref="A3:A5" si="0">ROW()-1</f>
        <v>2</v>
      </c>
      <c r="B3" s="21"/>
      <c r="C3" s="417" t="s">
        <v>76</v>
      </c>
      <c r="D3" s="417"/>
      <c r="E3" s="417"/>
      <c r="F3" s="417"/>
      <c r="G3" s="417"/>
      <c r="H3" s="417"/>
      <c r="I3" s="241">
        <f>SUM(I2:I2)</f>
        <v>0</v>
      </c>
      <c r="J3" s="188"/>
      <c r="K3" s="188"/>
      <c r="L3" s="188"/>
      <c r="M3" s="188"/>
    </row>
    <row r="4" spans="1:13">
      <c r="A4" s="252">
        <f t="shared" si="0"/>
        <v>3</v>
      </c>
      <c r="B4" s="21"/>
      <c r="C4" s="417" t="s">
        <v>1637</v>
      </c>
      <c r="D4" s="417"/>
      <c r="E4" s="417"/>
      <c r="F4" s="417"/>
      <c r="G4" s="417"/>
      <c r="H4" s="417"/>
      <c r="I4" s="241">
        <f>I3*18%</f>
        <v>0</v>
      </c>
      <c r="K4" s="188"/>
      <c r="L4" s="188"/>
      <c r="M4" s="188"/>
    </row>
    <row r="5" spans="1:13">
      <c r="A5" s="252">
        <f t="shared" si="0"/>
        <v>4</v>
      </c>
      <c r="B5" s="21"/>
      <c r="C5" s="417" t="s">
        <v>742</v>
      </c>
      <c r="D5" s="417"/>
      <c r="E5" s="417"/>
      <c r="F5" s="417"/>
      <c r="G5" s="417"/>
      <c r="H5" s="417"/>
      <c r="I5" s="241">
        <f>SUM(I3:I4)</f>
        <v>0</v>
      </c>
      <c r="K5" s="188"/>
      <c r="L5" s="188"/>
      <c r="M5" s="188"/>
    </row>
    <row r="6" spans="1:13">
      <c r="A6" s="418"/>
      <c r="B6" s="419"/>
      <c r="C6" s="419"/>
      <c r="D6" s="419"/>
      <c r="E6" s="419"/>
      <c r="F6" s="419"/>
      <c r="G6" s="419"/>
      <c r="H6" s="419"/>
      <c r="I6" s="420"/>
    </row>
    <row r="7" spans="1:13" ht="140.25" customHeight="1">
      <c r="A7" s="128" t="s">
        <v>80</v>
      </c>
      <c r="B7" s="360" t="s">
        <v>1765</v>
      </c>
      <c r="C7" s="360"/>
      <c r="D7" s="360"/>
      <c r="E7" s="360"/>
      <c r="F7" s="360"/>
      <c r="G7" s="360"/>
      <c r="H7" s="360"/>
      <c r="I7" s="361"/>
      <c r="M7" s="188"/>
    </row>
  </sheetData>
  <mergeCells count="5">
    <mergeCell ref="C3:H3"/>
    <mergeCell ref="C4:H4"/>
    <mergeCell ref="C5:H5"/>
    <mergeCell ref="A6:I6"/>
    <mergeCell ref="B7:I7"/>
  </mergeCells>
  <printOptions horizontalCentered="1"/>
  <pageMargins left="0.31496062992125984" right="0.31496062992125984" top="0.55118110236220474" bottom="0.55118110236220474" header="0.31496062992125984" footer="0.31496062992125984"/>
  <pageSetup orientation="landscape" horizontalDpi="4294967292" r:id="rId1"/>
  <headerFooter>
    <oddFooter>Page &amp;P of &amp;N</oddFooter>
  </headerFooter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3166C-D5F0-4CD7-879C-51C5638965AC}">
  <dimension ref="A1:M16"/>
  <sheetViews>
    <sheetView zoomScaleNormal="100" workbookViewId="0">
      <selection activeCell="E2" sqref="E2"/>
    </sheetView>
  </sheetViews>
  <sheetFormatPr defaultColWidth="9.140625" defaultRowHeight="12.75"/>
  <cols>
    <col min="1" max="1" width="5.85546875" style="119" bestFit="1" customWidth="1"/>
    <col min="2" max="2" width="11" style="119" bestFit="1" customWidth="1"/>
    <col min="3" max="3" width="24.140625" style="119" customWidth="1"/>
    <col min="4" max="4" width="20.42578125" style="119" customWidth="1"/>
    <col min="5" max="5" width="30.7109375" style="119" bestFit="1" customWidth="1"/>
    <col min="6" max="6" width="7" style="119" customWidth="1"/>
    <col min="7" max="7" width="8.42578125" style="119" customWidth="1"/>
    <col min="8" max="8" width="12.5703125" style="119" bestFit="1" customWidth="1"/>
    <col min="9" max="9" width="16" style="119" customWidth="1"/>
    <col min="10" max="10" width="11.42578125" style="119" bestFit="1" customWidth="1"/>
    <col min="11" max="11" width="12.5703125" style="119" bestFit="1" customWidth="1"/>
    <col min="12" max="12" width="13" style="119" customWidth="1"/>
    <col min="13" max="13" width="13.140625" style="119" customWidth="1"/>
    <col min="14" max="16384" width="9.140625" style="119"/>
  </cols>
  <sheetData>
    <row r="1" spans="1:13" ht="13.5" customHeight="1">
      <c r="A1" s="152" t="s">
        <v>0</v>
      </c>
      <c r="B1" s="152" t="s">
        <v>503</v>
      </c>
      <c r="C1" s="117" t="s">
        <v>1604</v>
      </c>
      <c r="D1" s="117" t="s">
        <v>778</v>
      </c>
      <c r="E1" s="173" t="s">
        <v>67</v>
      </c>
      <c r="F1" s="173" t="s">
        <v>3</v>
      </c>
      <c r="G1" s="117" t="s">
        <v>1582</v>
      </c>
      <c r="H1" s="152" t="s">
        <v>1583</v>
      </c>
      <c r="I1" s="152" t="s">
        <v>1584</v>
      </c>
      <c r="J1" s="119" t="s">
        <v>1250</v>
      </c>
      <c r="K1" s="119" t="s">
        <v>2064</v>
      </c>
    </row>
    <row r="2" spans="1:13" ht="127.5">
      <c r="A2" s="266">
        <f>ROW()-1</f>
        <v>1</v>
      </c>
      <c r="B2" s="266">
        <v>3000121136</v>
      </c>
      <c r="C2" s="203" t="s">
        <v>2065</v>
      </c>
      <c r="D2" s="237" t="s">
        <v>2066</v>
      </c>
      <c r="E2" s="121" t="s">
        <v>2067</v>
      </c>
      <c r="F2" s="203" t="s">
        <v>121</v>
      </c>
      <c r="G2" s="203">
        <v>2</v>
      </c>
      <c r="H2" s="240"/>
      <c r="I2" s="240">
        <f>H2*G2</f>
        <v>0</v>
      </c>
      <c r="J2" s="187"/>
      <c r="K2" s="187"/>
      <c r="L2" s="187"/>
      <c r="M2" s="187"/>
    </row>
    <row r="3" spans="1:13" ht="140.25">
      <c r="A3" s="266">
        <f t="shared" ref="A3:A14" si="0">ROW()-1</f>
        <v>2</v>
      </c>
      <c r="B3" s="266">
        <v>3000121136</v>
      </c>
      <c r="C3" s="203" t="s">
        <v>2065</v>
      </c>
      <c r="D3" s="237" t="s">
        <v>2066</v>
      </c>
      <c r="E3" s="121" t="s">
        <v>2068</v>
      </c>
      <c r="F3" s="203" t="s">
        <v>121</v>
      </c>
      <c r="G3" s="203">
        <v>4</v>
      </c>
      <c r="H3" s="240"/>
      <c r="I3" s="240"/>
      <c r="J3" s="187"/>
      <c r="K3" s="187"/>
      <c r="L3" s="187"/>
      <c r="M3" s="187"/>
    </row>
    <row r="4" spans="1:13" ht="140.25">
      <c r="A4" s="266">
        <f t="shared" si="0"/>
        <v>3</v>
      </c>
      <c r="B4" s="266">
        <v>3000121136</v>
      </c>
      <c r="C4" s="203" t="s">
        <v>2065</v>
      </c>
      <c r="D4" s="237" t="s">
        <v>2066</v>
      </c>
      <c r="E4" s="121" t="s">
        <v>2069</v>
      </c>
      <c r="F4" s="203" t="s">
        <v>121</v>
      </c>
      <c r="G4" s="203">
        <v>2</v>
      </c>
      <c r="H4" s="240"/>
      <c r="I4" s="240"/>
      <c r="J4" s="187"/>
      <c r="K4" s="187"/>
      <c r="L4" s="187"/>
      <c r="M4" s="187"/>
    </row>
    <row r="5" spans="1:13" ht="63.75">
      <c r="A5" s="266">
        <f t="shared" si="0"/>
        <v>4</v>
      </c>
      <c r="B5" s="266">
        <v>3000121136</v>
      </c>
      <c r="C5" s="203" t="s">
        <v>2070</v>
      </c>
      <c r="D5" s="237" t="s">
        <v>2071</v>
      </c>
      <c r="E5" s="121" t="s">
        <v>2072</v>
      </c>
      <c r="F5" s="203" t="s">
        <v>121</v>
      </c>
      <c r="G5" s="203">
        <v>20</v>
      </c>
      <c r="H5" s="240"/>
      <c r="I5" s="240"/>
      <c r="J5" s="187"/>
      <c r="K5" s="187"/>
      <c r="L5" s="187"/>
      <c r="M5" s="187"/>
    </row>
    <row r="6" spans="1:13" ht="51">
      <c r="A6" s="266">
        <f t="shared" si="0"/>
        <v>5</v>
      </c>
      <c r="B6" s="266">
        <v>3000121136</v>
      </c>
      <c r="C6" s="203" t="s">
        <v>2073</v>
      </c>
      <c r="D6" s="237" t="s">
        <v>2074</v>
      </c>
      <c r="E6" s="121" t="s">
        <v>2075</v>
      </c>
      <c r="F6" s="203" t="s">
        <v>121</v>
      </c>
      <c r="G6" s="203">
        <v>8</v>
      </c>
      <c r="H6" s="240"/>
      <c r="I6" s="240"/>
      <c r="J6" s="187"/>
      <c r="K6" s="187"/>
      <c r="L6" s="187"/>
      <c r="M6" s="187"/>
    </row>
    <row r="7" spans="1:13" ht="51">
      <c r="A7" s="266">
        <f t="shared" si="0"/>
        <v>6</v>
      </c>
      <c r="B7" s="266">
        <v>3000121136</v>
      </c>
      <c r="C7" s="203" t="s">
        <v>2076</v>
      </c>
      <c r="D7" s="237" t="s">
        <v>2077</v>
      </c>
      <c r="E7" s="121" t="s">
        <v>2078</v>
      </c>
      <c r="F7" s="203" t="s">
        <v>121</v>
      </c>
      <c r="G7" s="203">
        <v>8</v>
      </c>
      <c r="H7" s="240"/>
      <c r="I7" s="240"/>
      <c r="J7" s="187"/>
      <c r="K7" s="187"/>
      <c r="L7" s="187"/>
      <c r="M7" s="187"/>
    </row>
    <row r="8" spans="1:13" ht="51">
      <c r="A8" s="266">
        <f t="shared" si="0"/>
        <v>7</v>
      </c>
      <c r="B8" s="266">
        <v>3000121136</v>
      </c>
      <c r="C8" s="203" t="s">
        <v>2079</v>
      </c>
      <c r="D8" s="237" t="s">
        <v>2080</v>
      </c>
      <c r="E8" s="121" t="s">
        <v>2081</v>
      </c>
      <c r="F8" s="203" t="s">
        <v>121</v>
      </c>
      <c r="G8" s="203">
        <v>8</v>
      </c>
      <c r="H8" s="240"/>
      <c r="I8" s="240"/>
      <c r="J8" s="187"/>
      <c r="K8" s="187"/>
      <c r="L8" s="187"/>
      <c r="M8" s="187"/>
    </row>
    <row r="9" spans="1:13" ht="127.5">
      <c r="A9" s="266">
        <f t="shared" si="0"/>
        <v>8</v>
      </c>
      <c r="B9" s="266">
        <v>3000121136</v>
      </c>
      <c r="C9" s="203" t="s">
        <v>2082</v>
      </c>
      <c r="D9" s="237" t="s">
        <v>2083</v>
      </c>
      <c r="E9" s="121" t="s">
        <v>2084</v>
      </c>
      <c r="F9" s="203" t="s">
        <v>121</v>
      </c>
      <c r="G9" s="203">
        <v>4</v>
      </c>
      <c r="H9" s="240"/>
      <c r="I9" s="240"/>
      <c r="J9" s="187"/>
      <c r="K9" s="187" t="s">
        <v>2085</v>
      </c>
      <c r="L9" s="187"/>
      <c r="M9" s="187"/>
    </row>
    <row r="10" spans="1:13" ht="76.5">
      <c r="A10" s="266">
        <f t="shared" si="0"/>
        <v>9</v>
      </c>
      <c r="B10" s="266">
        <v>3000121136</v>
      </c>
      <c r="C10" s="203" t="s">
        <v>2086</v>
      </c>
      <c r="D10" s="237" t="s">
        <v>1601</v>
      </c>
      <c r="E10" s="121" t="s">
        <v>2087</v>
      </c>
      <c r="F10" s="203" t="s">
        <v>121</v>
      </c>
      <c r="G10" s="203">
        <v>4</v>
      </c>
      <c r="H10" s="240"/>
      <c r="I10" s="240"/>
      <c r="J10" s="187"/>
      <c r="K10" s="188">
        <v>36195</v>
      </c>
      <c r="L10" s="187"/>
      <c r="M10" s="187"/>
    </row>
    <row r="11" spans="1:13" ht="76.5">
      <c r="A11" s="266">
        <f t="shared" si="0"/>
        <v>10</v>
      </c>
      <c r="B11" s="266">
        <v>3000121136</v>
      </c>
      <c r="C11" s="203" t="s">
        <v>2086</v>
      </c>
      <c r="D11" s="237" t="s">
        <v>1601</v>
      </c>
      <c r="E11" s="121" t="s">
        <v>2088</v>
      </c>
      <c r="F11" s="203" t="s">
        <v>121</v>
      </c>
      <c r="G11" s="203">
        <v>4</v>
      </c>
      <c r="H11" s="240"/>
      <c r="I11" s="240"/>
      <c r="J11" s="187"/>
      <c r="K11" s="188">
        <v>36195</v>
      </c>
      <c r="L11" s="187"/>
      <c r="M11" s="187"/>
    </row>
    <row r="12" spans="1:13">
      <c r="A12" s="266">
        <f t="shared" si="0"/>
        <v>11</v>
      </c>
      <c r="B12" s="21"/>
      <c r="C12" s="428" t="s">
        <v>76</v>
      </c>
      <c r="D12" s="429"/>
      <c r="E12" s="429"/>
      <c r="F12" s="429"/>
      <c r="G12" s="429"/>
      <c r="H12" s="430"/>
      <c r="I12" s="241">
        <f>SUM(I2:I2)</f>
        <v>0</v>
      </c>
      <c r="J12" s="188"/>
      <c r="K12" s="188"/>
      <c r="L12" s="188"/>
      <c r="M12" s="188"/>
    </row>
    <row r="13" spans="1:13">
      <c r="A13" s="266">
        <f t="shared" si="0"/>
        <v>12</v>
      </c>
      <c r="B13" s="21"/>
      <c r="C13" s="428" t="s">
        <v>1637</v>
      </c>
      <c r="D13" s="429"/>
      <c r="E13" s="429"/>
      <c r="F13" s="429"/>
      <c r="G13" s="429"/>
      <c r="H13" s="430"/>
      <c r="I13" s="241">
        <f>I12*18%</f>
        <v>0</v>
      </c>
      <c r="K13" s="188"/>
      <c r="L13" s="188"/>
      <c r="M13" s="188"/>
    </row>
    <row r="14" spans="1:13">
      <c r="A14" s="266">
        <f t="shared" si="0"/>
        <v>13</v>
      </c>
      <c r="B14" s="21"/>
      <c r="C14" s="428" t="s">
        <v>742</v>
      </c>
      <c r="D14" s="429"/>
      <c r="E14" s="429"/>
      <c r="F14" s="429"/>
      <c r="G14" s="429"/>
      <c r="H14" s="430"/>
      <c r="I14" s="241">
        <f>SUM(I12:I13)</f>
        <v>0</v>
      </c>
      <c r="K14" s="188"/>
      <c r="L14" s="188"/>
      <c r="M14" s="188"/>
    </row>
    <row r="15" spans="1:13">
      <c r="A15" s="431"/>
      <c r="B15" s="432"/>
      <c r="C15" s="432"/>
      <c r="D15" s="432"/>
      <c r="E15" s="432"/>
      <c r="F15" s="432"/>
      <c r="G15" s="432"/>
      <c r="H15" s="432"/>
      <c r="I15" s="433"/>
    </row>
    <row r="16" spans="1:13" ht="140.25" customHeight="1">
      <c r="A16" s="128" t="s">
        <v>80</v>
      </c>
      <c r="B16" s="360" t="s">
        <v>1765</v>
      </c>
      <c r="C16" s="360"/>
      <c r="D16" s="360"/>
      <c r="E16" s="360"/>
      <c r="F16" s="360"/>
      <c r="G16" s="360"/>
      <c r="H16" s="360"/>
      <c r="I16" s="361"/>
      <c r="M16" s="188"/>
    </row>
  </sheetData>
  <mergeCells count="5">
    <mergeCell ref="C12:H12"/>
    <mergeCell ref="C13:H13"/>
    <mergeCell ref="C14:H14"/>
    <mergeCell ref="A15:I15"/>
    <mergeCell ref="B16:I16"/>
  </mergeCells>
  <printOptions horizontalCentered="1"/>
  <pageMargins left="0.31496062992125984" right="0.31496062992125984" top="0.55118110236220474" bottom="0.55118110236220474" header="0.31496062992125984" footer="0.31496062992125984"/>
  <pageSetup orientation="landscape" horizontalDpi="4294967292" r:id="rId1"/>
  <headerFooter>
    <oddFooter>Page &amp;P of &amp;N</oddFooter>
  </headerFooter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23761-B33F-423E-AA64-1D8FE83E6DCD}">
  <dimension ref="A1:M7"/>
  <sheetViews>
    <sheetView zoomScaleNormal="100" workbookViewId="0">
      <selection activeCell="K2" sqref="K2"/>
    </sheetView>
  </sheetViews>
  <sheetFormatPr defaultColWidth="9.140625" defaultRowHeight="12.75"/>
  <cols>
    <col min="1" max="1" width="5.85546875" style="256" bestFit="1" customWidth="1"/>
    <col min="2" max="2" width="11" style="256" bestFit="1" customWidth="1"/>
    <col min="3" max="3" width="17.42578125" style="256" customWidth="1"/>
    <col min="4" max="4" width="20.42578125" style="256" customWidth="1"/>
    <col min="5" max="5" width="46.140625" style="256" customWidth="1"/>
    <col min="6" max="6" width="5" style="256" bestFit="1" customWidth="1"/>
    <col min="7" max="7" width="6.7109375" style="256" bestFit="1" customWidth="1"/>
    <col min="8" max="8" width="12.5703125" style="256" bestFit="1" customWidth="1"/>
    <col min="9" max="9" width="16" style="256" customWidth="1"/>
    <col min="10" max="10" width="11.42578125" style="256" bestFit="1" customWidth="1"/>
    <col min="11" max="11" width="12.5703125" style="256" bestFit="1" customWidth="1"/>
    <col min="12" max="12" width="13" style="256" customWidth="1"/>
    <col min="13" max="13" width="13.140625" style="256" customWidth="1"/>
    <col min="14" max="16384" width="9.140625" style="256"/>
  </cols>
  <sheetData>
    <row r="1" spans="1:13" ht="13.5" customHeight="1">
      <c r="A1" s="253" t="s">
        <v>0</v>
      </c>
      <c r="B1" s="253" t="s">
        <v>503</v>
      </c>
      <c r="C1" s="254" t="s">
        <v>1604</v>
      </c>
      <c r="D1" s="254" t="s">
        <v>778</v>
      </c>
      <c r="E1" s="255" t="s">
        <v>67</v>
      </c>
      <c r="F1" s="255" t="s">
        <v>3</v>
      </c>
      <c r="G1" s="254" t="s">
        <v>1582</v>
      </c>
      <c r="H1" s="253" t="s">
        <v>1583</v>
      </c>
      <c r="I1" s="253" t="s">
        <v>1584</v>
      </c>
      <c r="J1" s="256" t="s">
        <v>1250</v>
      </c>
      <c r="K1" s="256" t="s">
        <v>145</v>
      </c>
    </row>
    <row r="2" spans="1:13" ht="114.75">
      <c r="A2" s="267">
        <f>ROW()-1</f>
        <v>1</v>
      </c>
      <c r="B2" s="267">
        <v>3000121246</v>
      </c>
      <c r="C2" s="258" t="s">
        <v>2090</v>
      </c>
      <c r="D2" s="258" t="s">
        <v>2091</v>
      </c>
      <c r="E2" s="259" t="s">
        <v>2092</v>
      </c>
      <c r="F2" s="260" t="s">
        <v>121</v>
      </c>
      <c r="G2" s="260">
        <v>1</v>
      </c>
      <c r="H2" s="261">
        <f>93*1.3*J2</f>
        <v>7374900</v>
      </c>
      <c r="I2" s="261">
        <f>H2*G2</f>
        <v>7374900</v>
      </c>
      <c r="J2" s="262">
        <v>61000</v>
      </c>
      <c r="K2" s="262">
        <v>61000</v>
      </c>
      <c r="L2" s="262"/>
      <c r="M2" s="262"/>
    </row>
    <row r="3" spans="1:13">
      <c r="A3" s="267">
        <f t="shared" ref="A3:A5" si="0">ROW()-1</f>
        <v>2</v>
      </c>
      <c r="B3" s="263"/>
      <c r="C3" s="422" t="s">
        <v>76</v>
      </c>
      <c r="D3" s="422"/>
      <c r="E3" s="422"/>
      <c r="F3" s="422"/>
      <c r="G3" s="422"/>
      <c r="H3" s="422"/>
      <c r="I3" s="241">
        <f>SUM(I2:I2)</f>
        <v>7374900</v>
      </c>
      <c r="J3" s="264"/>
      <c r="K3" s="264"/>
      <c r="L3" s="264"/>
      <c r="M3" s="264"/>
    </row>
    <row r="4" spans="1:13">
      <c r="A4" s="267">
        <f t="shared" si="0"/>
        <v>3</v>
      </c>
      <c r="B4" s="263"/>
      <c r="C4" s="422" t="s">
        <v>1637</v>
      </c>
      <c r="D4" s="422"/>
      <c r="E4" s="422"/>
      <c r="F4" s="422"/>
      <c r="G4" s="422"/>
      <c r="H4" s="422"/>
      <c r="I4" s="241">
        <f>I3*18%</f>
        <v>1327482</v>
      </c>
      <c r="K4" s="264"/>
      <c r="L4" s="264"/>
      <c r="M4" s="264"/>
    </row>
    <row r="5" spans="1:13">
      <c r="A5" s="267">
        <f t="shared" si="0"/>
        <v>4</v>
      </c>
      <c r="B5" s="263"/>
      <c r="C5" s="422" t="s">
        <v>742</v>
      </c>
      <c r="D5" s="422"/>
      <c r="E5" s="422"/>
      <c r="F5" s="422"/>
      <c r="G5" s="422"/>
      <c r="H5" s="422"/>
      <c r="I5" s="241">
        <f>SUM(I3:I4)</f>
        <v>8702382</v>
      </c>
      <c r="K5" s="264"/>
      <c r="L5" s="264"/>
      <c r="M5" s="264"/>
    </row>
    <row r="6" spans="1:13">
      <c r="A6" s="423"/>
      <c r="B6" s="424"/>
      <c r="C6" s="424"/>
      <c r="D6" s="424"/>
      <c r="E6" s="424"/>
      <c r="F6" s="424"/>
      <c r="G6" s="424"/>
      <c r="H6" s="424"/>
      <c r="I6" s="425"/>
    </row>
    <row r="7" spans="1:13" ht="140.25" customHeight="1">
      <c r="A7" s="265" t="s">
        <v>80</v>
      </c>
      <c r="B7" s="426" t="s">
        <v>1765</v>
      </c>
      <c r="C7" s="426"/>
      <c r="D7" s="426"/>
      <c r="E7" s="426"/>
      <c r="F7" s="426"/>
      <c r="G7" s="426"/>
      <c r="H7" s="426"/>
      <c r="I7" s="427"/>
      <c r="M7" s="264"/>
    </row>
  </sheetData>
  <mergeCells count="5">
    <mergeCell ref="C3:H3"/>
    <mergeCell ref="C4:H4"/>
    <mergeCell ref="C5:H5"/>
    <mergeCell ref="A6:I6"/>
    <mergeCell ref="B7:I7"/>
  </mergeCells>
  <printOptions horizontalCentered="1"/>
  <pageMargins left="0.31496062992125984" right="0.31496062992125984" top="0.55118110236220474" bottom="0.55118110236220474" header="0.31496062992125984" footer="0.31496062992125984"/>
  <pageSetup orientation="landscape" horizontalDpi="4294967292" r:id="rId1"/>
  <headerFooter>
    <oddFooter>Page &amp;P of &amp;N</oddFooter>
  </headerFooter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909C8-AE8A-4C31-BA21-1F7D127D3F37}">
  <dimension ref="A1:M8"/>
  <sheetViews>
    <sheetView zoomScaleNormal="100" workbookViewId="0">
      <selection activeCell="I4" sqref="I4"/>
    </sheetView>
  </sheetViews>
  <sheetFormatPr defaultColWidth="9.140625" defaultRowHeight="12.75"/>
  <cols>
    <col min="1" max="1" width="5.85546875" style="256" bestFit="1" customWidth="1"/>
    <col min="2" max="2" width="11" style="256" bestFit="1" customWidth="1"/>
    <col min="3" max="3" width="17.42578125" style="256" customWidth="1"/>
    <col min="4" max="4" width="20.42578125" style="256" customWidth="1"/>
    <col min="5" max="5" width="46.140625" style="256" customWidth="1"/>
    <col min="6" max="6" width="5" style="256" bestFit="1" customWidth="1"/>
    <col min="7" max="7" width="6.7109375" style="256" bestFit="1" customWidth="1"/>
    <col min="8" max="8" width="12.5703125" style="256" bestFit="1" customWidth="1"/>
    <col min="9" max="9" width="16" style="256" customWidth="1"/>
    <col min="10" max="10" width="11.42578125" style="256" bestFit="1" customWidth="1"/>
    <col min="11" max="11" width="12.5703125" style="256" bestFit="1" customWidth="1"/>
    <col min="12" max="12" width="13" style="256" customWidth="1"/>
    <col min="13" max="13" width="13.140625" style="256" customWidth="1"/>
    <col min="14" max="16384" width="9.140625" style="256"/>
  </cols>
  <sheetData>
    <row r="1" spans="1:13" ht="13.5" customHeight="1">
      <c r="A1" s="253" t="s">
        <v>0</v>
      </c>
      <c r="B1" s="253" t="s">
        <v>503</v>
      </c>
      <c r="C1" s="254" t="s">
        <v>1604</v>
      </c>
      <c r="D1" s="254" t="s">
        <v>778</v>
      </c>
      <c r="E1" s="255" t="s">
        <v>67</v>
      </c>
      <c r="F1" s="255" t="s">
        <v>3</v>
      </c>
      <c r="G1" s="254" t="s">
        <v>1582</v>
      </c>
      <c r="H1" s="253" t="s">
        <v>1583</v>
      </c>
      <c r="I1" s="253" t="s">
        <v>1584</v>
      </c>
      <c r="J1" s="256" t="s">
        <v>2100</v>
      </c>
      <c r="K1" s="256" t="s">
        <v>2099</v>
      </c>
    </row>
    <row r="2" spans="1:13" ht="76.5">
      <c r="A2" s="268">
        <f>ROW()-1</f>
        <v>1</v>
      </c>
      <c r="B2" s="268">
        <v>3000120604</v>
      </c>
      <c r="C2" s="258" t="s">
        <v>2093</v>
      </c>
      <c r="D2" s="258" t="s">
        <v>2094</v>
      </c>
      <c r="E2" s="259" t="s">
        <v>2095</v>
      </c>
      <c r="F2" s="260" t="s">
        <v>121</v>
      </c>
      <c r="G2" s="260">
        <v>35</v>
      </c>
      <c r="H2" s="261">
        <f>J2</f>
        <v>18379.3</v>
      </c>
      <c r="I2" s="261">
        <f>H2*G2</f>
        <v>643275.5</v>
      </c>
      <c r="J2" s="264">
        <f>K2*1.15</f>
        <v>18379.3</v>
      </c>
      <c r="K2" s="264">
        <v>15982</v>
      </c>
      <c r="L2" s="262"/>
      <c r="M2" s="262"/>
    </row>
    <row r="3" spans="1:13" ht="114.75">
      <c r="A3" s="268">
        <f t="shared" ref="A3:A6" si="0">ROW()-1</f>
        <v>2</v>
      </c>
      <c r="B3" s="268">
        <v>3000120604</v>
      </c>
      <c r="C3" s="258" t="s">
        <v>2096</v>
      </c>
      <c r="D3" s="258" t="s">
        <v>2097</v>
      </c>
      <c r="E3" s="259" t="s">
        <v>2098</v>
      </c>
      <c r="F3" s="260" t="s">
        <v>1182</v>
      </c>
      <c r="G3" s="260">
        <v>30</v>
      </c>
      <c r="H3" s="261">
        <f>J3</f>
        <v>34236.649999999994</v>
      </c>
      <c r="I3" s="261">
        <f>H3*G3</f>
        <v>1027099.4999999998</v>
      </c>
      <c r="J3" s="264">
        <f>K3*1.15</f>
        <v>34236.649999999994</v>
      </c>
      <c r="K3" s="264">
        <v>29771</v>
      </c>
      <c r="L3" s="262"/>
      <c r="M3" s="262"/>
    </row>
    <row r="4" spans="1:13">
      <c r="A4" s="268">
        <f t="shared" si="0"/>
        <v>3</v>
      </c>
      <c r="B4" s="263"/>
      <c r="C4" s="422" t="s">
        <v>76</v>
      </c>
      <c r="D4" s="422"/>
      <c r="E4" s="422"/>
      <c r="F4" s="422"/>
      <c r="G4" s="422"/>
      <c r="H4" s="422"/>
      <c r="I4" s="241">
        <f>SUM(I2:I3)</f>
        <v>1670374.9999999998</v>
      </c>
      <c r="J4" s="264"/>
      <c r="K4" s="264"/>
      <c r="L4" s="264"/>
      <c r="M4" s="264"/>
    </row>
    <row r="5" spans="1:13">
      <c r="A5" s="268">
        <f t="shared" si="0"/>
        <v>4</v>
      </c>
      <c r="B5" s="263"/>
      <c r="C5" s="422" t="s">
        <v>1637</v>
      </c>
      <c r="D5" s="422"/>
      <c r="E5" s="422"/>
      <c r="F5" s="422"/>
      <c r="G5" s="422"/>
      <c r="H5" s="422"/>
      <c r="I5" s="241">
        <f>I4*18%</f>
        <v>300667.49999999994</v>
      </c>
      <c r="K5" s="264"/>
      <c r="L5" s="264"/>
      <c r="M5" s="264"/>
    </row>
    <row r="6" spans="1:13">
      <c r="A6" s="268">
        <f t="shared" si="0"/>
        <v>5</v>
      </c>
      <c r="B6" s="263"/>
      <c r="C6" s="422" t="s">
        <v>742</v>
      </c>
      <c r="D6" s="422"/>
      <c r="E6" s="422"/>
      <c r="F6" s="422"/>
      <c r="G6" s="422"/>
      <c r="H6" s="422"/>
      <c r="I6" s="241">
        <f>SUM(I4:I5)</f>
        <v>1971042.4999999998</v>
      </c>
      <c r="K6" s="264"/>
      <c r="L6" s="264"/>
      <c r="M6" s="264"/>
    </row>
    <row r="7" spans="1:13">
      <c r="A7" s="423"/>
      <c r="B7" s="424"/>
      <c r="C7" s="424"/>
      <c r="D7" s="424"/>
      <c r="E7" s="424"/>
      <c r="F7" s="424"/>
      <c r="G7" s="424"/>
      <c r="H7" s="424"/>
      <c r="I7" s="425"/>
    </row>
    <row r="8" spans="1:13" ht="140.25" customHeight="1">
      <c r="A8" s="265" t="s">
        <v>80</v>
      </c>
      <c r="B8" s="426" t="s">
        <v>1765</v>
      </c>
      <c r="C8" s="426"/>
      <c r="D8" s="426"/>
      <c r="E8" s="426"/>
      <c r="F8" s="426"/>
      <c r="G8" s="426"/>
      <c r="H8" s="426"/>
      <c r="I8" s="427"/>
      <c r="M8" s="264"/>
    </row>
  </sheetData>
  <mergeCells count="5">
    <mergeCell ref="C4:H4"/>
    <mergeCell ref="C5:H5"/>
    <mergeCell ref="C6:H6"/>
    <mergeCell ref="A7:I7"/>
    <mergeCell ref="B8:I8"/>
  </mergeCells>
  <printOptions horizontalCentered="1"/>
  <pageMargins left="0.31496062992125984" right="0.31496062992125984" top="0.55118110236220474" bottom="0.55118110236220474" header="0.31496062992125984" footer="0.31496062992125984"/>
  <pageSetup orientation="landscape" horizontalDpi="4294967292" r:id="rId1"/>
  <headerFooter>
    <oddFooter>Page &amp;P of &amp;N</oddFooter>
  </headerFooter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397DF-05AC-48F0-AB35-B162253182D8}">
  <dimension ref="A1:M7"/>
  <sheetViews>
    <sheetView zoomScaleNormal="100" workbookViewId="0">
      <selection activeCell="J2" sqref="J2"/>
    </sheetView>
  </sheetViews>
  <sheetFormatPr defaultColWidth="9.140625" defaultRowHeight="12.75"/>
  <cols>
    <col min="1" max="1" width="5.85546875" style="256" bestFit="1" customWidth="1"/>
    <col min="2" max="2" width="11" style="256" bestFit="1" customWidth="1"/>
    <col min="3" max="3" width="17.42578125" style="256" customWidth="1"/>
    <col min="4" max="4" width="20.42578125" style="256" customWidth="1"/>
    <col min="5" max="5" width="46.140625" style="256" customWidth="1"/>
    <col min="6" max="6" width="5" style="256" bestFit="1" customWidth="1"/>
    <col min="7" max="7" width="6.7109375" style="256" bestFit="1" customWidth="1"/>
    <col min="8" max="8" width="12.5703125" style="256" bestFit="1" customWidth="1"/>
    <col min="9" max="9" width="16" style="256" customWidth="1"/>
    <col min="10" max="11" width="13.7109375" style="256" bestFit="1" customWidth="1"/>
    <col min="12" max="12" width="13" style="256" customWidth="1"/>
    <col min="13" max="13" width="13.140625" style="256" customWidth="1"/>
    <col min="14" max="16384" width="9.140625" style="256"/>
  </cols>
  <sheetData>
    <row r="1" spans="1:13" ht="13.5" customHeight="1">
      <c r="A1" s="253" t="s">
        <v>0</v>
      </c>
      <c r="B1" s="253" t="s">
        <v>503</v>
      </c>
      <c r="C1" s="254" t="s">
        <v>1604</v>
      </c>
      <c r="D1" s="254" t="s">
        <v>778</v>
      </c>
      <c r="E1" s="255" t="s">
        <v>67</v>
      </c>
      <c r="F1" s="255" t="s">
        <v>3</v>
      </c>
      <c r="G1" s="254" t="s">
        <v>1582</v>
      </c>
      <c r="H1" s="253" t="s">
        <v>1583</v>
      </c>
      <c r="I1" s="253" t="s">
        <v>1584</v>
      </c>
      <c r="J1" s="256" t="s">
        <v>394</v>
      </c>
      <c r="K1" s="256" t="s">
        <v>2142</v>
      </c>
    </row>
    <row r="2" spans="1:13" ht="165.75">
      <c r="A2" s="269">
        <f>ROW()-1</f>
        <v>1</v>
      </c>
      <c r="B2" s="269">
        <v>3000121767</v>
      </c>
      <c r="C2" s="258" t="s">
        <v>2101</v>
      </c>
      <c r="D2" s="258" t="s">
        <v>2102</v>
      </c>
      <c r="E2" s="259" t="s">
        <v>2103</v>
      </c>
      <c r="F2" s="260" t="s">
        <v>391</v>
      </c>
      <c r="G2" s="260">
        <v>1</v>
      </c>
      <c r="H2" s="261">
        <f>J2</f>
        <v>1696249.9999999998</v>
      </c>
      <c r="I2" s="261">
        <f>H2*G2</f>
        <v>1696249.9999999998</v>
      </c>
      <c r="J2" s="264">
        <f>K2*1.15</f>
        <v>1696249.9999999998</v>
      </c>
      <c r="K2" s="264">
        <v>1475000</v>
      </c>
      <c r="L2" s="262"/>
      <c r="M2" s="262"/>
    </row>
    <row r="3" spans="1:13">
      <c r="A3" s="269">
        <f t="shared" ref="A3:A5" si="0">ROW()-1</f>
        <v>2</v>
      </c>
      <c r="B3" s="263"/>
      <c r="C3" s="422" t="s">
        <v>76</v>
      </c>
      <c r="D3" s="422"/>
      <c r="E3" s="422"/>
      <c r="F3" s="422"/>
      <c r="G3" s="422"/>
      <c r="H3" s="422"/>
      <c r="I3" s="241">
        <f>SUM(I2:I2)</f>
        <v>1696249.9999999998</v>
      </c>
      <c r="J3" s="264"/>
      <c r="K3" s="264"/>
      <c r="L3" s="264"/>
      <c r="M3" s="264"/>
    </row>
    <row r="4" spans="1:13">
      <c r="A4" s="269">
        <f t="shared" si="0"/>
        <v>3</v>
      </c>
      <c r="B4" s="263"/>
      <c r="C4" s="422" t="s">
        <v>1637</v>
      </c>
      <c r="D4" s="422"/>
      <c r="E4" s="422"/>
      <c r="F4" s="422"/>
      <c r="G4" s="422"/>
      <c r="H4" s="422"/>
      <c r="I4" s="241">
        <f>I3*18%</f>
        <v>305324.99999999994</v>
      </c>
      <c r="K4" s="264"/>
      <c r="L4" s="264"/>
      <c r="M4" s="264"/>
    </row>
    <row r="5" spans="1:13">
      <c r="A5" s="269">
        <f t="shared" si="0"/>
        <v>4</v>
      </c>
      <c r="B5" s="263"/>
      <c r="C5" s="422" t="s">
        <v>742</v>
      </c>
      <c r="D5" s="422"/>
      <c r="E5" s="422"/>
      <c r="F5" s="422"/>
      <c r="G5" s="422"/>
      <c r="H5" s="422"/>
      <c r="I5" s="241">
        <f>SUM(I3:I4)</f>
        <v>2001574.9999999998</v>
      </c>
      <c r="K5" s="264"/>
      <c r="L5" s="264"/>
      <c r="M5" s="264"/>
    </row>
    <row r="6" spans="1:13">
      <c r="A6" s="423"/>
      <c r="B6" s="424"/>
      <c r="C6" s="424"/>
      <c r="D6" s="424"/>
      <c r="E6" s="424"/>
      <c r="F6" s="424"/>
      <c r="G6" s="424"/>
      <c r="H6" s="424"/>
      <c r="I6" s="425"/>
    </row>
    <row r="7" spans="1:13" ht="140.25" customHeight="1">
      <c r="A7" s="265" t="s">
        <v>80</v>
      </c>
      <c r="B7" s="426" t="s">
        <v>1765</v>
      </c>
      <c r="C7" s="426"/>
      <c r="D7" s="426"/>
      <c r="E7" s="426"/>
      <c r="F7" s="426"/>
      <c r="G7" s="426"/>
      <c r="H7" s="426"/>
      <c r="I7" s="427"/>
      <c r="M7" s="264"/>
    </row>
  </sheetData>
  <mergeCells count="5">
    <mergeCell ref="C3:H3"/>
    <mergeCell ref="C4:H4"/>
    <mergeCell ref="C5:H5"/>
    <mergeCell ref="A6:I6"/>
    <mergeCell ref="B7:I7"/>
  </mergeCells>
  <printOptions horizontalCentered="1"/>
  <pageMargins left="0.31496062992125984" right="0.31496062992125984" top="0.55118110236220474" bottom="0.55118110236220474" header="0.31496062992125984" footer="0.31496062992125984"/>
  <pageSetup orientation="landscape" horizontalDpi="4294967292" r:id="rId1"/>
  <headerFooter>
    <oddFooter>Page &amp;P of &amp;N</oddFooter>
  </headerFooter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B8A1C-C44E-4B90-82FE-1F122B6476CA}">
  <dimension ref="A1:M21"/>
  <sheetViews>
    <sheetView zoomScaleNormal="100" workbookViewId="0">
      <selection activeCell="E2" sqref="E2"/>
    </sheetView>
  </sheetViews>
  <sheetFormatPr defaultColWidth="9.140625" defaultRowHeight="12.75"/>
  <cols>
    <col min="1" max="1" width="5.85546875" style="256" bestFit="1" customWidth="1"/>
    <col min="2" max="2" width="19.42578125" style="256" customWidth="1"/>
    <col min="3" max="3" width="17.42578125" style="256" customWidth="1"/>
    <col min="4" max="4" width="20.42578125" style="256" customWidth="1"/>
    <col min="5" max="5" width="46.140625" style="256" customWidth="1"/>
    <col min="6" max="6" width="5" style="256" bestFit="1" customWidth="1"/>
    <col min="7" max="7" width="6.7109375" style="256" bestFit="1" customWidth="1"/>
    <col min="8" max="8" width="12.5703125" style="256" bestFit="1" customWidth="1"/>
    <col min="9" max="9" width="16" style="256" customWidth="1"/>
    <col min="10" max="10" width="11.42578125" style="256" bestFit="1" customWidth="1"/>
    <col min="11" max="11" width="12.5703125" style="256" bestFit="1" customWidth="1"/>
    <col min="12" max="12" width="13" style="256" customWidth="1"/>
    <col min="13" max="13" width="13.140625" style="256" customWidth="1"/>
    <col min="14" max="16384" width="9.140625" style="256"/>
  </cols>
  <sheetData>
    <row r="1" spans="1:13" ht="13.5" customHeight="1">
      <c r="A1" s="253" t="s">
        <v>0</v>
      </c>
      <c r="B1" s="253" t="s">
        <v>503</v>
      </c>
      <c r="C1" s="254" t="s">
        <v>1604</v>
      </c>
      <c r="D1" s="254" t="s">
        <v>778</v>
      </c>
      <c r="E1" s="255" t="s">
        <v>67</v>
      </c>
      <c r="F1" s="255" t="s">
        <v>3</v>
      </c>
      <c r="G1" s="254" t="s">
        <v>1582</v>
      </c>
      <c r="H1" s="253" t="s">
        <v>1583</v>
      </c>
      <c r="I1" s="253" t="s">
        <v>1584</v>
      </c>
      <c r="J1" s="256" t="s">
        <v>394</v>
      </c>
    </row>
    <row r="2" spans="1:13" ht="89.25">
      <c r="A2" s="270">
        <f>ROW()-1</f>
        <v>1</v>
      </c>
      <c r="B2" s="270" t="s">
        <v>2105</v>
      </c>
      <c r="C2" s="258"/>
      <c r="D2" s="258" t="s">
        <v>2106</v>
      </c>
      <c r="E2" s="259" t="s">
        <v>2107</v>
      </c>
      <c r="F2" s="260" t="s">
        <v>1182</v>
      </c>
      <c r="G2" s="260">
        <v>1</v>
      </c>
      <c r="H2" s="261">
        <f>J2</f>
        <v>0</v>
      </c>
      <c r="I2" s="261">
        <f>H2*G2</f>
        <v>0</v>
      </c>
      <c r="J2" s="264"/>
      <c r="K2" s="264"/>
      <c r="L2" s="262"/>
      <c r="M2" s="262"/>
    </row>
    <row r="3" spans="1:13" ht="51">
      <c r="A3" s="270">
        <f t="shared" ref="A3:A19" si="0">ROW()-1</f>
        <v>2</v>
      </c>
      <c r="B3" s="270" t="s">
        <v>2105</v>
      </c>
      <c r="C3" s="258"/>
      <c r="D3" s="258" t="s">
        <v>2108</v>
      </c>
      <c r="E3" s="259" t="s">
        <v>2109</v>
      </c>
      <c r="F3" s="260" t="s">
        <v>1182</v>
      </c>
      <c r="G3" s="260">
        <v>4</v>
      </c>
      <c r="H3" s="261"/>
      <c r="I3" s="261"/>
      <c r="J3" s="264"/>
      <c r="K3" s="264"/>
      <c r="L3" s="262"/>
      <c r="M3" s="262"/>
    </row>
    <row r="4" spans="1:13" ht="25.5">
      <c r="A4" s="270">
        <f t="shared" si="0"/>
        <v>3</v>
      </c>
      <c r="B4" s="270" t="s">
        <v>2105</v>
      </c>
      <c r="C4" s="258"/>
      <c r="D4" s="258" t="s">
        <v>2110</v>
      </c>
      <c r="E4" s="259" t="s">
        <v>2111</v>
      </c>
      <c r="F4" s="260" t="s">
        <v>1182</v>
      </c>
      <c r="G4" s="260">
        <v>1</v>
      </c>
      <c r="H4" s="261"/>
      <c r="I4" s="261"/>
      <c r="J4" s="264"/>
      <c r="K4" s="264"/>
      <c r="L4" s="262"/>
      <c r="M4" s="262"/>
    </row>
    <row r="5" spans="1:13" ht="63.75">
      <c r="A5" s="270">
        <f t="shared" si="0"/>
        <v>4</v>
      </c>
      <c r="B5" s="270" t="s">
        <v>2105</v>
      </c>
      <c r="C5" s="258"/>
      <c r="D5" s="258" t="s">
        <v>2112</v>
      </c>
      <c r="E5" s="259" t="s">
        <v>2113</v>
      </c>
      <c r="F5" s="260" t="s">
        <v>1182</v>
      </c>
      <c r="G5" s="260">
        <v>1</v>
      </c>
      <c r="H5" s="261"/>
      <c r="I5" s="261"/>
      <c r="J5" s="264"/>
      <c r="K5" s="264"/>
      <c r="L5" s="262"/>
      <c r="M5" s="262"/>
    </row>
    <row r="6" spans="1:13" ht="25.5">
      <c r="A6" s="270">
        <f t="shared" si="0"/>
        <v>5</v>
      </c>
      <c r="B6" s="270" t="s">
        <v>2105</v>
      </c>
      <c r="C6" s="258"/>
      <c r="D6" s="258" t="s">
        <v>2114</v>
      </c>
      <c r="E6" s="259" t="s">
        <v>2115</v>
      </c>
      <c r="F6" s="260" t="s">
        <v>1182</v>
      </c>
      <c r="G6" s="260">
        <v>2</v>
      </c>
      <c r="H6" s="261"/>
      <c r="I6" s="261"/>
      <c r="J6" s="264"/>
      <c r="K6" s="264"/>
      <c r="L6" s="262"/>
      <c r="M6" s="262"/>
    </row>
    <row r="7" spans="1:13" ht="89.25">
      <c r="A7" s="270">
        <f t="shared" si="0"/>
        <v>6</v>
      </c>
      <c r="B7" s="270" t="s">
        <v>2105</v>
      </c>
      <c r="C7" s="258"/>
      <c r="D7" s="258" t="s">
        <v>2116</v>
      </c>
      <c r="E7" s="259" t="s">
        <v>2117</v>
      </c>
      <c r="F7" s="260" t="s">
        <v>1182</v>
      </c>
      <c r="G7" s="260">
        <v>5</v>
      </c>
      <c r="H7" s="261"/>
      <c r="I7" s="261"/>
      <c r="J7" s="264"/>
      <c r="K7" s="264"/>
      <c r="L7" s="262"/>
      <c r="M7" s="262"/>
    </row>
    <row r="8" spans="1:13" ht="25.5">
      <c r="A8" s="270">
        <f t="shared" si="0"/>
        <v>7</v>
      </c>
      <c r="B8" s="270" t="s">
        <v>2105</v>
      </c>
      <c r="C8" s="258"/>
      <c r="D8" s="258" t="s">
        <v>2118</v>
      </c>
      <c r="E8" s="259" t="s">
        <v>2119</v>
      </c>
      <c r="F8" s="260" t="s">
        <v>1182</v>
      </c>
      <c r="G8" s="260" t="s">
        <v>1303</v>
      </c>
      <c r="H8" s="261"/>
      <c r="I8" s="261"/>
      <c r="J8" s="264"/>
      <c r="K8" s="264"/>
      <c r="L8" s="262"/>
      <c r="M8" s="262"/>
    </row>
    <row r="9" spans="1:13" ht="51">
      <c r="A9" s="270">
        <f t="shared" si="0"/>
        <v>8</v>
      </c>
      <c r="B9" s="270" t="s">
        <v>2105</v>
      </c>
      <c r="C9" s="258"/>
      <c r="D9" s="258" t="s">
        <v>2120</v>
      </c>
      <c r="E9" s="259" t="s">
        <v>2121</v>
      </c>
      <c r="F9" s="260" t="s">
        <v>1182</v>
      </c>
      <c r="G9" s="260" t="s">
        <v>1273</v>
      </c>
      <c r="H9" s="261"/>
      <c r="I9" s="261"/>
      <c r="J9" s="264"/>
      <c r="K9" s="264"/>
      <c r="L9" s="262"/>
      <c r="M9" s="262"/>
    </row>
    <row r="10" spans="1:13" ht="51">
      <c r="A10" s="270">
        <f t="shared" si="0"/>
        <v>9</v>
      </c>
      <c r="B10" s="270" t="s">
        <v>2105</v>
      </c>
      <c r="C10" s="258"/>
      <c r="D10" s="258" t="s">
        <v>2122</v>
      </c>
      <c r="E10" s="259" t="s">
        <v>2123</v>
      </c>
      <c r="F10" s="260" t="s">
        <v>1182</v>
      </c>
      <c r="G10" s="260" t="s">
        <v>1273</v>
      </c>
      <c r="H10" s="261"/>
      <c r="I10" s="261"/>
      <c r="J10" s="264"/>
      <c r="K10" s="264"/>
      <c r="L10" s="262"/>
      <c r="M10" s="262"/>
    </row>
    <row r="11" spans="1:13" ht="51">
      <c r="A11" s="270">
        <f t="shared" si="0"/>
        <v>10</v>
      </c>
      <c r="B11" s="270" t="s">
        <v>2105</v>
      </c>
      <c r="C11" s="258"/>
      <c r="D11" s="258" t="s">
        <v>2124</v>
      </c>
      <c r="E11" s="259" t="s">
        <v>2125</v>
      </c>
      <c r="F11" s="260" t="s">
        <v>1182</v>
      </c>
      <c r="G11" s="260" t="s">
        <v>1273</v>
      </c>
      <c r="H11" s="261"/>
      <c r="I11" s="261"/>
      <c r="J11" s="264"/>
      <c r="K11" s="264"/>
      <c r="L11" s="262"/>
      <c r="M11" s="262"/>
    </row>
    <row r="12" spans="1:13" ht="25.5">
      <c r="A12" s="270">
        <f t="shared" si="0"/>
        <v>11</v>
      </c>
      <c r="B12" s="270" t="s">
        <v>2105</v>
      </c>
      <c r="C12" s="258"/>
      <c r="D12" s="258" t="s">
        <v>2126</v>
      </c>
      <c r="E12" s="259" t="s">
        <v>2127</v>
      </c>
      <c r="F12" s="260" t="s">
        <v>1182</v>
      </c>
      <c r="G12" s="260" t="s">
        <v>1273</v>
      </c>
      <c r="H12" s="261"/>
      <c r="I12" s="261"/>
      <c r="J12" s="264"/>
      <c r="K12" s="264"/>
      <c r="L12" s="262"/>
      <c r="M12" s="262"/>
    </row>
    <row r="13" spans="1:13" ht="114.75">
      <c r="A13" s="270">
        <f t="shared" si="0"/>
        <v>12</v>
      </c>
      <c r="B13" s="270" t="s">
        <v>2105</v>
      </c>
      <c r="C13" s="258"/>
      <c r="D13" s="258" t="s">
        <v>2128</v>
      </c>
      <c r="E13" s="259" t="s">
        <v>2129</v>
      </c>
      <c r="F13" s="260" t="s">
        <v>1182</v>
      </c>
      <c r="G13" s="260" t="s">
        <v>1272</v>
      </c>
      <c r="H13" s="261"/>
      <c r="I13" s="261"/>
      <c r="J13" s="264"/>
      <c r="K13" s="264"/>
      <c r="L13" s="262"/>
      <c r="M13" s="262"/>
    </row>
    <row r="14" spans="1:13" ht="25.5">
      <c r="A14" s="270">
        <f t="shared" si="0"/>
        <v>13</v>
      </c>
      <c r="B14" s="270" t="s">
        <v>2105</v>
      </c>
      <c r="C14" s="258"/>
      <c r="D14" s="258" t="s">
        <v>2130</v>
      </c>
      <c r="E14" s="259" t="s">
        <v>2131</v>
      </c>
      <c r="F14" s="260" t="s">
        <v>1182</v>
      </c>
      <c r="G14" s="260" t="s">
        <v>1273</v>
      </c>
      <c r="H14" s="261"/>
      <c r="I14" s="261"/>
      <c r="J14" s="264"/>
      <c r="K14" s="264"/>
      <c r="L14" s="262"/>
      <c r="M14" s="262"/>
    </row>
    <row r="15" spans="1:13" ht="76.5">
      <c r="A15" s="270">
        <f t="shared" si="0"/>
        <v>14</v>
      </c>
      <c r="B15" s="270" t="s">
        <v>2105</v>
      </c>
      <c r="C15" s="258"/>
      <c r="D15" s="258" t="s">
        <v>2132</v>
      </c>
      <c r="E15" s="259" t="s">
        <v>2133</v>
      </c>
      <c r="F15" s="260" t="s">
        <v>1182</v>
      </c>
      <c r="G15" s="260" t="s">
        <v>1273</v>
      </c>
      <c r="H15" s="261"/>
      <c r="I15" s="261"/>
      <c r="J15" s="264"/>
      <c r="K15" s="264"/>
      <c r="L15" s="262"/>
      <c r="M15" s="262"/>
    </row>
    <row r="16" spans="1:13" ht="38.25">
      <c r="A16" s="270">
        <f t="shared" si="0"/>
        <v>15</v>
      </c>
      <c r="B16" s="270" t="s">
        <v>2105</v>
      </c>
      <c r="C16" s="258"/>
      <c r="D16" s="258" t="s">
        <v>2134</v>
      </c>
      <c r="E16" s="259" t="s">
        <v>2135</v>
      </c>
      <c r="F16" s="260" t="s">
        <v>1182</v>
      </c>
      <c r="G16" s="260" t="s">
        <v>1273</v>
      </c>
      <c r="H16" s="261"/>
      <c r="I16" s="261"/>
      <c r="J16" s="264"/>
      <c r="K16" s="264"/>
      <c r="L16" s="262"/>
      <c r="M16" s="262"/>
    </row>
    <row r="17" spans="1:13">
      <c r="A17" s="270">
        <f t="shared" si="0"/>
        <v>16</v>
      </c>
      <c r="B17" s="263"/>
      <c r="C17" s="422" t="s">
        <v>76</v>
      </c>
      <c r="D17" s="422"/>
      <c r="E17" s="422"/>
      <c r="F17" s="422"/>
      <c r="G17" s="422"/>
      <c r="H17" s="422"/>
      <c r="I17" s="241">
        <f>SUM(I2:I2)</f>
        <v>0</v>
      </c>
      <c r="J17" s="264"/>
      <c r="K17" s="264"/>
      <c r="L17" s="264"/>
      <c r="M17" s="264"/>
    </row>
    <row r="18" spans="1:13">
      <c r="A18" s="270">
        <f t="shared" si="0"/>
        <v>17</v>
      </c>
      <c r="B18" s="263"/>
      <c r="C18" s="422" t="s">
        <v>1637</v>
      </c>
      <c r="D18" s="422"/>
      <c r="E18" s="422"/>
      <c r="F18" s="422"/>
      <c r="G18" s="422"/>
      <c r="H18" s="422"/>
      <c r="I18" s="241">
        <f>I17*18%</f>
        <v>0</v>
      </c>
      <c r="K18" s="264"/>
      <c r="L18" s="264"/>
      <c r="M18" s="264"/>
    </row>
    <row r="19" spans="1:13">
      <c r="A19" s="270">
        <f t="shared" si="0"/>
        <v>18</v>
      </c>
      <c r="B19" s="263"/>
      <c r="C19" s="422" t="s">
        <v>742</v>
      </c>
      <c r="D19" s="422"/>
      <c r="E19" s="422"/>
      <c r="F19" s="422"/>
      <c r="G19" s="422"/>
      <c r="H19" s="422"/>
      <c r="I19" s="241">
        <f>SUM(I17:I18)</f>
        <v>0</v>
      </c>
      <c r="K19" s="264"/>
      <c r="L19" s="264"/>
      <c r="M19" s="264"/>
    </row>
    <row r="20" spans="1:13">
      <c r="A20" s="423"/>
      <c r="B20" s="424"/>
      <c r="C20" s="424"/>
      <c r="D20" s="424"/>
      <c r="E20" s="424"/>
      <c r="F20" s="424"/>
      <c r="G20" s="424"/>
      <c r="H20" s="424"/>
      <c r="I20" s="425"/>
    </row>
    <row r="21" spans="1:13" ht="140.25" customHeight="1">
      <c r="A21" s="265" t="s">
        <v>80</v>
      </c>
      <c r="B21" s="426" t="s">
        <v>1765</v>
      </c>
      <c r="C21" s="426"/>
      <c r="D21" s="426"/>
      <c r="E21" s="426"/>
      <c r="F21" s="426"/>
      <c r="G21" s="426"/>
      <c r="H21" s="426"/>
      <c r="I21" s="427"/>
      <c r="M21" s="264"/>
    </row>
  </sheetData>
  <mergeCells count="5">
    <mergeCell ref="C17:H17"/>
    <mergeCell ref="C18:H18"/>
    <mergeCell ref="C19:H19"/>
    <mergeCell ref="A20:I20"/>
    <mergeCell ref="B21:I21"/>
  </mergeCells>
  <printOptions horizontalCentered="1"/>
  <pageMargins left="0.31496062992125984" right="0.31496062992125984" top="0.55118110236220474" bottom="0.55118110236220474" header="0.31496062992125984" footer="0.31496062992125984"/>
  <pageSetup orientation="landscape" horizontalDpi="4294967292" r:id="rId1"/>
  <headerFooter>
    <oddFooter>Page &amp;P of &amp;N</oddFooter>
  </headerFooter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ED7D9-5D1C-40FB-A0A6-285C0D8E9C1E}">
  <dimension ref="A1:M7"/>
  <sheetViews>
    <sheetView zoomScale="85" zoomScaleNormal="85" workbookViewId="0">
      <selection activeCell="E2" sqref="E2"/>
    </sheetView>
  </sheetViews>
  <sheetFormatPr defaultColWidth="9.140625" defaultRowHeight="12.75"/>
  <cols>
    <col min="1" max="1" width="5.85546875" style="256" bestFit="1" customWidth="1"/>
    <col min="2" max="2" width="11" style="256" bestFit="1" customWidth="1"/>
    <col min="3" max="3" width="17.42578125" style="256" customWidth="1"/>
    <col min="4" max="4" width="20.42578125" style="256" customWidth="1"/>
    <col min="5" max="5" width="46.140625" style="256" customWidth="1"/>
    <col min="6" max="6" width="5" style="256" bestFit="1" customWidth="1"/>
    <col min="7" max="7" width="6.7109375" style="256" bestFit="1" customWidth="1"/>
    <col min="8" max="8" width="12.5703125" style="256" bestFit="1" customWidth="1"/>
    <col min="9" max="9" width="16" style="256" customWidth="1"/>
    <col min="10" max="10" width="11.42578125" style="256" bestFit="1" customWidth="1"/>
    <col min="11" max="11" width="12.5703125" style="256" bestFit="1" customWidth="1"/>
    <col min="12" max="12" width="13" style="256" customWidth="1"/>
    <col min="13" max="13" width="13.140625" style="256" customWidth="1"/>
    <col min="14" max="16384" width="9.140625" style="256"/>
  </cols>
  <sheetData>
    <row r="1" spans="1:13" ht="13.5" customHeight="1">
      <c r="A1" s="253" t="s">
        <v>0</v>
      </c>
      <c r="B1" s="253" t="s">
        <v>503</v>
      </c>
      <c r="C1" s="254" t="s">
        <v>1604</v>
      </c>
      <c r="D1" s="254" t="s">
        <v>778</v>
      </c>
      <c r="E1" s="255" t="s">
        <v>67</v>
      </c>
      <c r="F1" s="255" t="s">
        <v>3</v>
      </c>
      <c r="G1" s="254" t="s">
        <v>1582</v>
      </c>
      <c r="H1" s="253" t="s">
        <v>1583</v>
      </c>
      <c r="I1" s="253" t="s">
        <v>1584</v>
      </c>
      <c r="J1" s="256" t="s">
        <v>394</v>
      </c>
    </row>
    <row r="2" spans="1:13" ht="127.5">
      <c r="A2" s="270">
        <f>ROW()-1</f>
        <v>1</v>
      </c>
      <c r="B2" s="270">
        <v>5000007245</v>
      </c>
      <c r="C2" s="258" t="s">
        <v>2136</v>
      </c>
      <c r="D2" s="258" t="s">
        <v>2137</v>
      </c>
      <c r="E2" s="259" t="s">
        <v>2138</v>
      </c>
      <c r="F2" s="260" t="s">
        <v>1182</v>
      </c>
      <c r="G2" s="260">
        <v>1</v>
      </c>
      <c r="H2" s="261">
        <f>J2</f>
        <v>0</v>
      </c>
      <c r="I2" s="261">
        <f>H2*G2</f>
        <v>0</v>
      </c>
      <c r="J2" s="264"/>
      <c r="K2" s="264"/>
      <c r="L2" s="262"/>
      <c r="M2" s="262"/>
    </row>
    <row r="3" spans="1:13">
      <c r="A3" s="270">
        <f t="shared" ref="A3:A5" si="0">ROW()-1</f>
        <v>2</v>
      </c>
      <c r="B3" s="263"/>
      <c r="C3" s="422" t="s">
        <v>76</v>
      </c>
      <c r="D3" s="422"/>
      <c r="E3" s="422"/>
      <c r="F3" s="422"/>
      <c r="G3" s="422"/>
      <c r="H3" s="422"/>
      <c r="I3" s="241">
        <f>SUM(I2:I2)</f>
        <v>0</v>
      </c>
      <c r="J3" s="264"/>
      <c r="K3" s="264"/>
      <c r="L3" s="264"/>
      <c r="M3" s="264"/>
    </row>
    <row r="4" spans="1:13">
      <c r="A4" s="270">
        <f t="shared" si="0"/>
        <v>3</v>
      </c>
      <c r="B4" s="263"/>
      <c r="C4" s="422" t="s">
        <v>1637</v>
      </c>
      <c r="D4" s="422"/>
      <c r="E4" s="422"/>
      <c r="F4" s="422"/>
      <c r="G4" s="422"/>
      <c r="H4" s="422"/>
      <c r="I4" s="241">
        <f>I3*18%</f>
        <v>0</v>
      </c>
      <c r="K4" s="264"/>
      <c r="L4" s="264"/>
      <c r="M4" s="264"/>
    </row>
    <row r="5" spans="1:13">
      <c r="A5" s="270">
        <f t="shared" si="0"/>
        <v>4</v>
      </c>
      <c r="B5" s="263"/>
      <c r="C5" s="422" t="s">
        <v>742</v>
      </c>
      <c r="D5" s="422"/>
      <c r="E5" s="422"/>
      <c r="F5" s="422"/>
      <c r="G5" s="422"/>
      <c r="H5" s="422"/>
      <c r="I5" s="241">
        <f>SUM(I3:I4)</f>
        <v>0</v>
      </c>
      <c r="K5" s="264"/>
      <c r="L5" s="264"/>
      <c r="M5" s="264"/>
    </row>
    <row r="6" spans="1:13">
      <c r="A6" s="423"/>
      <c r="B6" s="424"/>
      <c r="C6" s="424"/>
      <c r="D6" s="424"/>
      <c r="E6" s="424"/>
      <c r="F6" s="424"/>
      <c r="G6" s="424"/>
      <c r="H6" s="424"/>
      <c r="I6" s="425"/>
    </row>
    <row r="7" spans="1:13" ht="140.25" customHeight="1">
      <c r="A7" s="265" t="s">
        <v>80</v>
      </c>
      <c r="B7" s="426" t="s">
        <v>1765</v>
      </c>
      <c r="C7" s="426"/>
      <c r="D7" s="426"/>
      <c r="E7" s="426"/>
      <c r="F7" s="426"/>
      <c r="G7" s="426"/>
      <c r="H7" s="426"/>
      <c r="I7" s="427"/>
      <c r="M7" s="264"/>
    </row>
  </sheetData>
  <mergeCells count="5">
    <mergeCell ref="C3:H3"/>
    <mergeCell ref="C4:H4"/>
    <mergeCell ref="C5:H5"/>
    <mergeCell ref="A6:I6"/>
    <mergeCell ref="B7:I7"/>
  </mergeCells>
  <printOptions horizontalCentered="1"/>
  <pageMargins left="0.31496062992125984" right="0.31496062992125984" top="0.55118110236220474" bottom="0.55118110236220474" header="0.31496062992125984" footer="0.31496062992125984"/>
  <pageSetup orientation="landscape" horizontalDpi="4294967292" r:id="rId1"/>
  <headerFooter>
    <oddFooter>Page &amp;P of &amp;N</oddFooter>
  </headerFooter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13737-E924-4F58-AA4D-BC7325BF027A}">
  <dimension ref="A1:M7"/>
  <sheetViews>
    <sheetView zoomScaleNormal="100" workbookViewId="0">
      <selection activeCell="C2" sqref="C2:D2"/>
    </sheetView>
  </sheetViews>
  <sheetFormatPr defaultColWidth="9.140625" defaultRowHeight="12.75"/>
  <cols>
    <col min="1" max="1" width="5.85546875" style="256" bestFit="1" customWidth="1"/>
    <col min="2" max="2" width="17.5703125" style="256" bestFit="1" customWidth="1"/>
    <col min="3" max="3" width="17.42578125" style="256" customWidth="1"/>
    <col min="4" max="4" width="20.42578125" style="256" customWidth="1"/>
    <col min="5" max="5" width="46.140625" style="256" customWidth="1"/>
    <col min="6" max="6" width="5" style="256" bestFit="1" customWidth="1"/>
    <col min="7" max="7" width="6.7109375" style="256" bestFit="1" customWidth="1"/>
    <col min="8" max="8" width="12.5703125" style="256" bestFit="1" customWidth="1"/>
    <col min="9" max="9" width="16" style="256" customWidth="1"/>
    <col min="10" max="10" width="11.42578125" style="256" bestFit="1" customWidth="1"/>
    <col min="11" max="11" width="12.5703125" style="256" bestFit="1" customWidth="1"/>
    <col min="12" max="12" width="13" style="256" customWidth="1"/>
    <col min="13" max="13" width="13.140625" style="256" customWidth="1"/>
    <col min="14" max="16384" width="9.140625" style="256"/>
  </cols>
  <sheetData>
    <row r="1" spans="1:13" ht="13.5" customHeight="1">
      <c r="A1" s="253" t="s">
        <v>0</v>
      </c>
      <c r="B1" s="253" t="s">
        <v>503</v>
      </c>
      <c r="C1" s="254" t="s">
        <v>1604</v>
      </c>
      <c r="D1" s="254" t="s">
        <v>778</v>
      </c>
      <c r="E1" s="255" t="s">
        <v>67</v>
      </c>
      <c r="F1" s="255" t="s">
        <v>3</v>
      </c>
      <c r="G1" s="254" t="s">
        <v>1582</v>
      </c>
      <c r="H1" s="253" t="s">
        <v>1583</v>
      </c>
      <c r="I1" s="253" t="s">
        <v>1584</v>
      </c>
      <c r="J1" s="256" t="s">
        <v>394</v>
      </c>
    </row>
    <row r="2" spans="1:13" ht="25.5">
      <c r="A2" s="271">
        <f>ROW()-1</f>
        <v>1</v>
      </c>
      <c r="B2" s="271" t="s">
        <v>2140</v>
      </c>
      <c r="C2" s="260" t="s">
        <v>522</v>
      </c>
      <c r="D2" s="260" t="s">
        <v>522</v>
      </c>
      <c r="E2" s="259" t="s">
        <v>2141</v>
      </c>
      <c r="F2" s="260" t="s">
        <v>1243</v>
      </c>
      <c r="G2" s="260">
        <v>3</v>
      </c>
      <c r="H2" s="261">
        <f>J2</f>
        <v>0</v>
      </c>
      <c r="I2" s="261">
        <f>H2*G2</f>
        <v>0</v>
      </c>
      <c r="J2" s="264"/>
      <c r="K2" s="264"/>
      <c r="L2" s="262"/>
      <c r="M2" s="262"/>
    </row>
    <row r="3" spans="1:13">
      <c r="A3" s="271">
        <f t="shared" ref="A3:A5" si="0">ROW()-1</f>
        <v>2</v>
      </c>
      <c r="B3" s="263"/>
      <c r="C3" s="422" t="s">
        <v>76</v>
      </c>
      <c r="D3" s="422"/>
      <c r="E3" s="422"/>
      <c r="F3" s="422"/>
      <c r="G3" s="422"/>
      <c r="H3" s="422"/>
      <c r="I3" s="241">
        <f>SUM(I2:I2)</f>
        <v>0</v>
      </c>
      <c r="J3" s="264"/>
      <c r="K3" s="264"/>
      <c r="L3" s="264"/>
      <c r="M3" s="264"/>
    </row>
    <row r="4" spans="1:13">
      <c r="A4" s="271">
        <f t="shared" si="0"/>
        <v>3</v>
      </c>
      <c r="B4" s="263"/>
      <c r="C4" s="422" t="s">
        <v>1637</v>
      </c>
      <c r="D4" s="422"/>
      <c r="E4" s="422"/>
      <c r="F4" s="422"/>
      <c r="G4" s="422"/>
      <c r="H4" s="422"/>
      <c r="I4" s="241">
        <f>I3*18%</f>
        <v>0</v>
      </c>
      <c r="K4" s="264"/>
      <c r="L4" s="264"/>
      <c r="M4" s="264"/>
    </row>
    <row r="5" spans="1:13">
      <c r="A5" s="271">
        <f t="shared" si="0"/>
        <v>4</v>
      </c>
      <c r="B5" s="263"/>
      <c r="C5" s="422" t="s">
        <v>742</v>
      </c>
      <c r="D5" s="422"/>
      <c r="E5" s="422"/>
      <c r="F5" s="422"/>
      <c r="G5" s="422"/>
      <c r="H5" s="422"/>
      <c r="I5" s="241">
        <f>SUM(I3:I4)</f>
        <v>0</v>
      </c>
      <c r="K5" s="264"/>
      <c r="L5" s="264"/>
      <c r="M5" s="264"/>
    </row>
    <row r="6" spans="1:13">
      <c r="A6" s="423"/>
      <c r="B6" s="424"/>
      <c r="C6" s="424"/>
      <c r="D6" s="424"/>
      <c r="E6" s="424"/>
      <c r="F6" s="424"/>
      <c r="G6" s="424"/>
      <c r="H6" s="424"/>
      <c r="I6" s="425"/>
    </row>
    <row r="7" spans="1:13" ht="140.25" customHeight="1">
      <c r="A7" s="265" t="s">
        <v>80</v>
      </c>
      <c r="B7" s="426" t="s">
        <v>1765</v>
      </c>
      <c r="C7" s="426"/>
      <c r="D7" s="426"/>
      <c r="E7" s="426"/>
      <c r="F7" s="426"/>
      <c r="G7" s="426"/>
      <c r="H7" s="426"/>
      <c r="I7" s="427"/>
      <c r="M7" s="264"/>
    </row>
  </sheetData>
  <mergeCells count="5">
    <mergeCell ref="C3:H3"/>
    <mergeCell ref="C4:H4"/>
    <mergeCell ref="C5:H5"/>
    <mergeCell ref="A6:I6"/>
    <mergeCell ref="B7:I7"/>
  </mergeCells>
  <printOptions horizontalCentered="1"/>
  <pageMargins left="0.31496062992125984" right="0.31496062992125984" top="0.55118110236220474" bottom="0.55118110236220474" header="0.31496062992125984" footer="0.31496062992125984"/>
  <pageSetup orientation="landscape" horizontalDpi="4294967292" r:id="rId1"/>
  <headerFooter>
    <oddFooter>Page &amp;P of &amp;N</oddFooter>
  </headerFooter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AE83-6CF7-4E12-B006-282B6B626DB9}">
  <dimension ref="A1:M7"/>
  <sheetViews>
    <sheetView zoomScaleNormal="100" workbookViewId="0">
      <selection activeCell="H15" sqref="H15"/>
    </sheetView>
  </sheetViews>
  <sheetFormatPr defaultColWidth="9.140625" defaultRowHeight="12.75"/>
  <cols>
    <col min="1" max="1" width="5.85546875" style="256" bestFit="1" customWidth="1"/>
    <col min="2" max="2" width="17.5703125" style="256" bestFit="1" customWidth="1"/>
    <col min="3" max="3" width="17.42578125" style="256" customWidth="1"/>
    <col min="4" max="4" width="20.42578125" style="256" customWidth="1"/>
    <col min="5" max="5" width="46.140625" style="256" customWidth="1"/>
    <col min="6" max="6" width="5" style="256" bestFit="1" customWidth="1"/>
    <col min="7" max="7" width="6.7109375" style="256" bestFit="1" customWidth="1"/>
    <col min="8" max="8" width="12.5703125" style="256" bestFit="1" customWidth="1"/>
    <col min="9" max="9" width="16" style="256" customWidth="1"/>
    <col min="10" max="10" width="11.42578125" style="256" bestFit="1" customWidth="1"/>
    <col min="11" max="11" width="12.5703125" style="256" bestFit="1" customWidth="1"/>
    <col min="12" max="12" width="13" style="256" customWidth="1"/>
    <col min="13" max="13" width="13.140625" style="256" customWidth="1"/>
    <col min="14" max="16384" width="9.140625" style="256"/>
  </cols>
  <sheetData>
    <row r="1" spans="1:13" ht="13.5" customHeight="1">
      <c r="A1" s="253" t="s">
        <v>0</v>
      </c>
      <c r="B1" s="253" t="s">
        <v>503</v>
      </c>
      <c r="C1" s="254" t="s">
        <v>1604</v>
      </c>
      <c r="D1" s="254" t="s">
        <v>778</v>
      </c>
      <c r="E1" s="255" t="s">
        <v>67</v>
      </c>
      <c r="F1" s="255" t="s">
        <v>3</v>
      </c>
      <c r="G1" s="254" t="s">
        <v>1582</v>
      </c>
      <c r="H1" s="253" t="s">
        <v>1583</v>
      </c>
      <c r="I1" s="253" t="s">
        <v>1584</v>
      </c>
      <c r="J1" s="256" t="s">
        <v>394</v>
      </c>
    </row>
    <row r="2" spans="1:13" ht="25.5">
      <c r="A2" s="272">
        <f>ROW()-1</f>
        <v>1</v>
      </c>
      <c r="B2" s="272" t="s">
        <v>2143</v>
      </c>
      <c r="C2" s="260" t="s">
        <v>522</v>
      </c>
      <c r="D2" s="260" t="s">
        <v>522</v>
      </c>
      <c r="E2" s="259" t="s">
        <v>2144</v>
      </c>
      <c r="F2" s="260" t="s">
        <v>2145</v>
      </c>
      <c r="G2" s="260">
        <v>1</v>
      </c>
      <c r="H2" s="261">
        <f>J2</f>
        <v>0</v>
      </c>
      <c r="I2" s="261">
        <f>H2*G2</f>
        <v>0</v>
      </c>
      <c r="J2" s="264"/>
      <c r="K2" s="264"/>
      <c r="L2" s="262"/>
      <c r="M2" s="262"/>
    </row>
    <row r="3" spans="1:13">
      <c r="A3" s="272">
        <f t="shared" ref="A3:A5" si="0">ROW()-1</f>
        <v>2</v>
      </c>
      <c r="B3" s="263"/>
      <c r="C3" s="422" t="s">
        <v>76</v>
      </c>
      <c r="D3" s="422"/>
      <c r="E3" s="422"/>
      <c r="F3" s="422"/>
      <c r="G3" s="422"/>
      <c r="H3" s="422"/>
      <c r="I3" s="241">
        <f>SUM(I2:I2)</f>
        <v>0</v>
      </c>
      <c r="J3" s="264"/>
      <c r="K3" s="264"/>
      <c r="L3" s="264"/>
      <c r="M3" s="264"/>
    </row>
    <row r="4" spans="1:13">
      <c r="A4" s="272">
        <f t="shared" si="0"/>
        <v>3</v>
      </c>
      <c r="B4" s="263"/>
      <c r="C4" s="422" t="s">
        <v>1637</v>
      </c>
      <c r="D4" s="422"/>
      <c r="E4" s="422"/>
      <c r="F4" s="422"/>
      <c r="G4" s="422"/>
      <c r="H4" s="422"/>
      <c r="I4" s="241">
        <f>I3*18%</f>
        <v>0</v>
      </c>
      <c r="K4" s="264"/>
      <c r="L4" s="264"/>
      <c r="M4" s="264"/>
    </row>
    <row r="5" spans="1:13">
      <c r="A5" s="272">
        <f t="shared" si="0"/>
        <v>4</v>
      </c>
      <c r="B5" s="263"/>
      <c r="C5" s="422" t="s">
        <v>742</v>
      </c>
      <c r="D5" s="422"/>
      <c r="E5" s="422"/>
      <c r="F5" s="422"/>
      <c r="G5" s="422"/>
      <c r="H5" s="422"/>
      <c r="I5" s="241">
        <f>SUM(I3:I4)</f>
        <v>0</v>
      </c>
      <c r="K5" s="264"/>
      <c r="L5" s="264"/>
      <c r="M5" s="264"/>
    </row>
    <row r="6" spans="1:13">
      <c r="A6" s="423"/>
      <c r="B6" s="424"/>
      <c r="C6" s="424"/>
      <c r="D6" s="424"/>
      <c r="E6" s="424"/>
      <c r="F6" s="424"/>
      <c r="G6" s="424"/>
      <c r="H6" s="424"/>
      <c r="I6" s="425"/>
    </row>
    <row r="7" spans="1:13" ht="140.25" customHeight="1">
      <c r="A7" s="265" t="s">
        <v>80</v>
      </c>
      <c r="B7" s="426" t="s">
        <v>1765</v>
      </c>
      <c r="C7" s="426"/>
      <c r="D7" s="426"/>
      <c r="E7" s="426"/>
      <c r="F7" s="426"/>
      <c r="G7" s="426"/>
      <c r="H7" s="426"/>
      <c r="I7" s="427"/>
      <c r="M7" s="264"/>
    </row>
  </sheetData>
  <mergeCells count="5">
    <mergeCell ref="C3:H3"/>
    <mergeCell ref="C4:H4"/>
    <mergeCell ref="C5:H5"/>
    <mergeCell ref="A6:I6"/>
    <mergeCell ref="B7:I7"/>
  </mergeCells>
  <printOptions horizontalCentered="1"/>
  <pageMargins left="0.31496062992125984" right="0.31496062992125984" top="0.55118110236220474" bottom="0.55118110236220474" header="0.31496062992125984" footer="0.31496062992125984"/>
  <pageSetup orientation="landscape" horizontalDpi="4294967292" r:id="rId1"/>
  <headerFooter>
    <oddFooter>Page &amp;P of &amp;N</oddFooter>
  </headerFooter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B8799-BC08-40AB-BA26-49CAFC496A31}">
  <dimension ref="A1:M12"/>
  <sheetViews>
    <sheetView zoomScaleNormal="100" workbookViewId="0">
      <selection activeCell="L13" sqref="L13"/>
    </sheetView>
  </sheetViews>
  <sheetFormatPr defaultColWidth="9.140625" defaultRowHeight="12.75"/>
  <cols>
    <col min="1" max="1" width="5.85546875" style="256" bestFit="1" customWidth="1"/>
    <col min="2" max="2" width="24.28515625" style="256" bestFit="1" customWidth="1"/>
    <col min="3" max="3" width="27.85546875" style="256" bestFit="1" customWidth="1"/>
    <col min="4" max="4" width="14.85546875" style="256" bestFit="1" customWidth="1"/>
    <col min="5" max="5" width="14.5703125" style="256" bestFit="1" customWidth="1"/>
    <col min="6" max="6" width="5" style="256" bestFit="1" customWidth="1"/>
    <col min="7" max="7" width="6.7109375" style="256" bestFit="1" customWidth="1"/>
    <col min="8" max="8" width="12.5703125" style="256" bestFit="1" customWidth="1"/>
    <col min="9" max="9" width="16" style="256" customWidth="1"/>
    <col min="10" max="10" width="11.42578125" style="256" bestFit="1" customWidth="1"/>
    <col min="11" max="11" width="12.5703125" style="256" bestFit="1" customWidth="1"/>
    <col min="12" max="12" width="13" style="256" customWidth="1"/>
    <col min="13" max="13" width="13.140625" style="256" customWidth="1"/>
    <col min="14" max="16384" width="9.140625" style="256"/>
  </cols>
  <sheetData>
    <row r="1" spans="1:13" ht="13.5" customHeight="1">
      <c r="A1" s="253" t="s">
        <v>0</v>
      </c>
      <c r="B1" s="253" t="s">
        <v>503</v>
      </c>
      <c r="C1" s="254" t="s">
        <v>2147</v>
      </c>
      <c r="D1" s="254" t="s">
        <v>2148</v>
      </c>
      <c r="E1" s="255" t="s">
        <v>2149</v>
      </c>
      <c r="F1" s="255" t="s">
        <v>3</v>
      </c>
      <c r="G1" s="254" t="s">
        <v>1582</v>
      </c>
      <c r="H1" s="253" t="s">
        <v>1583</v>
      </c>
      <c r="I1" s="253" t="s">
        <v>1584</v>
      </c>
      <c r="J1" s="256" t="s">
        <v>394</v>
      </c>
      <c r="K1" s="256" t="s">
        <v>1603</v>
      </c>
    </row>
    <row r="2" spans="1:13">
      <c r="A2" s="273">
        <f>ROW()-1</f>
        <v>1</v>
      </c>
      <c r="B2" s="273" t="s">
        <v>2146</v>
      </c>
      <c r="C2" s="260" t="s">
        <v>2150</v>
      </c>
      <c r="D2" s="260" t="s">
        <v>2151</v>
      </c>
      <c r="E2" s="259" t="s">
        <v>2152</v>
      </c>
      <c r="F2" s="260" t="s">
        <v>1243</v>
      </c>
      <c r="G2" s="260">
        <v>18</v>
      </c>
      <c r="H2" s="261">
        <f>93*1.45*J2</f>
        <v>24947.25</v>
      </c>
      <c r="I2" s="261">
        <f>H2*G2</f>
        <v>449050.5</v>
      </c>
      <c r="J2" s="262">
        <v>185</v>
      </c>
      <c r="K2" s="262">
        <v>185</v>
      </c>
      <c r="L2" s="262"/>
      <c r="M2" s="262"/>
    </row>
    <row r="3" spans="1:13">
      <c r="A3" s="273">
        <f t="shared" ref="A3:A8" si="0">ROW()-1</f>
        <v>2</v>
      </c>
      <c r="B3" s="273" t="s">
        <v>2146</v>
      </c>
      <c r="C3" s="260" t="s">
        <v>2153</v>
      </c>
      <c r="D3" s="260" t="s">
        <v>2151</v>
      </c>
      <c r="E3" s="259" t="s">
        <v>2154</v>
      </c>
      <c r="F3" s="260" t="s">
        <v>1243</v>
      </c>
      <c r="G3" s="260">
        <v>2</v>
      </c>
      <c r="H3" s="261">
        <f t="shared" ref="H3:H8" si="1">93*1.45*J3</f>
        <v>4719.75</v>
      </c>
      <c r="I3" s="261">
        <f t="shared" ref="I3:I8" si="2">H3*G3</f>
        <v>9439.5</v>
      </c>
      <c r="J3" s="262">
        <v>35</v>
      </c>
      <c r="K3" s="262">
        <v>35</v>
      </c>
      <c r="L3" s="262"/>
      <c r="M3" s="262"/>
    </row>
    <row r="4" spans="1:13">
      <c r="A4" s="273">
        <f t="shared" si="0"/>
        <v>3</v>
      </c>
      <c r="B4" s="273" t="s">
        <v>2146</v>
      </c>
      <c r="C4" s="260" t="s">
        <v>2155</v>
      </c>
      <c r="D4" s="260" t="s">
        <v>2151</v>
      </c>
      <c r="E4" s="259" t="s">
        <v>2156</v>
      </c>
      <c r="F4" s="260" t="s">
        <v>1243</v>
      </c>
      <c r="G4" s="260">
        <v>10</v>
      </c>
      <c r="H4" s="261">
        <f t="shared" si="1"/>
        <v>5394</v>
      </c>
      <c r="I4" s="261">
        <f t="shared" si="2"/>
        <v>53940</v>
      </c>
      <c r="J4" s="262">
        <v>40</v>
      </c>
      <c r="K4" s="262">
        <v>40</v>
      </c>
      <c r="L4" s="262"/>
      <c r="M4" s="262"/>
    </row>
    <row r="5" spans="1:13">
      <c r="A5" s="273">
        <f t="shared" si="0"/>
        <v>4</v>
      </c>
      <c r="B5" s="273" t="s">
        <v>2146</v>
      </c>
      <c r="C5" s="260" t="s">
        <v>2155</v>
      </c>
      <c r="D5" s="260" t="s">
        <v>2157</v>
      </c>
      <c r="E5" s="259" t="s">
        <v>2158</v>
      </c>
      <c r="F5" s="260" t="s">
        <v>1243</v>
      </c>
      <c r="G5" s="260">
        <v>2</v>
      </c>
      <c r="H5" s="261">
        <f t="shared" si="1"/>
        <v>5394</v>
      </c>
      <c r="I5" s="261">
        <f t="shared" si="2"/>
        <v>10788</v>
      </c>
      <c r="J5" s="262">
        <v>40</v>
      </c>
      <c r="K5" s="262">
        <v>40</v>
      </c>
      <c r="L5" s="262"/>
      <c r="M5" s="262"/>
    </row>
    <row r="6" spans="1:13" ht="25.5">
      <c r="A6" s="273">
        <f t="shared" si="0"/>
        <v>5</v>
      </c>
      <c r="B6" s="273" t="s">
        <v>2146</v>
      </c>
      <c r="C6" s="275" t="s">
        <v>2159</v>
      </c>
      <c r="D6" s="260" t="s">
        <v>2157</v>
      </c>
      <c r="E6" s="259" t="s">
        <v>2160</v>
      </c>
      <c r="F6" s="260" t="s">
        <v>1243</v>
      </c>
      <c r="G6" s="260">
        <v>16</v>
      </c>
      <c r="H6" s="261">
        <f t="shared" si="1"/>
        <v>6742.5</v>
      </c>
      <c r="I6" s="261">
        <f t="shared" si="2"/>
        <v>107880</v>
      </c>
      <c r="J6" s="262">
        <v>50</v>
      </c>
      <c r="K6" s="262">
        <v>50</v>
      </c>
      <c r="L6" s="262"/>
      <c r="M6" s="262"/>
    </row>
    <row r="7" spans="1:13">
      <c r="A7" s="273">
        <f t="shared" si="0"/>
        <v>6</v>
      </c>
      <c r="B7" s="273" t="s">
        <v>2146</v>
      </c>
      <c r="C7" s="260" t="s">
        <v>2161</v>
      </c>
      <c r="D7" s="260" t="s">
        <v>2157</v>
      </c>
      <c r="E7" s="259" t="s">
        <v>2162</v>
      </c>
      <c r="F7" s="260" t="s">
        <v>1243</v>
      </c>
      <c r="G7" s="260">
        <v>20</v>
      </c>
      <c r="H7" s="261">
        <f t="shared" si="1"/>
        <v>6742.5</v>
      </c>
      <c r="I7" s="261">
        <f t="shared" si="2"/>
        <v>134850</v>
      </c>
      <c r="J7" s="262">
        <v>50</v>
      </c>
      <c r="K7" s="262">
        <v>50</v>
      </c>
      <c r="L7" s="262"/>
      <c r="M7" s="262"/>
    </row>
    <row r="8" spans="1:13">
      <c r="A8" s="273">
        <f t="shared" si="0"/>
        <v>7</v>
      </c>
      <c r="B8" s="273" t="s">
        <v>2146</v>
      </c>
      <c r="C8" s="260" t="s">
        <v>2163</v>
      </c>
      <c r="D8" s="260" t="s">
        <v>2165</v>
      </c>
      <c r="E8" s="259" t="s">
        <v>2164</v>
      </c>
      <c r="F8" s="260" t="s">
        <v>1243</v>
      </c>
      <c r="G8" s="260">
        <v>10</v>
      </c>
      <c r="H8" s="261">
        <f t="shared" si="1"/>
        <v>3371.25</v>
      </c>
      <c r="I8" s="261">
        <f t="shared" si="2"/>
        <v>33712.5</v>
      </c>
      <c r="J8" s="262">
        <v>25</v>
      </c>
      <c r="K8" s="262">
        <v>25</v>
      </c>
      <c r="L8" s="262"/>
      <c r="M8" s="262"/>
    </row>
    <row r="9" spans="1:13">
      <c r="A9" s="273">
        <f t="shared" ref="A9:A11" si="3">ROW()-1</f>
        <v>8</v>
      </c>
      <c r="B9" s="263"/>
      <c r="C9" s="422" t="s">
        <v>76</v>
      </c>
      <c r="D9" s="422"/>
      <c r="E9" s="422"/>
      <c r="F9" s="422"/>
      <c r="G9" s="422"/>
      <c r="H9" s="422"/>
      <c r="I9" s="241">
        <f>SUM(I2:I8)</f>
        <v>799660.5</v>
      </c>
      <c r="J9" s="264"/>
      <c r="K9" s="264"/>
      <c r="L9" s="264"/>
      <c r="M9" s="264"/>
    </row>
    <row r="10" spans="1:13">
      <c r="A10" s="273">
        <f t="shared" si="3"/>
        <v>9</v>
      </c>
      <c r="B10" s="263"/>
      <c r="C10" s="422" t="s">
        <v>1637</v>
      </c>
      <c r="D10" s="422"/>
      <c r="E10" s="422"/>
      <c r="F10" s="422"/>
      <c r="G10" s="422"/>
      <c r="H10" s="422"/>
      <c r="I10" s="241">
        <f>I9*18%</f>
        <v>143938.88999999998</v>
      </c>
      <c r="K10" s="264"/>
      <c r="L10" s="264"/>
      <c r="M10" s="264"/>
    </row>
    <row r="11" spans="1:13">
      <c r="A11" s="273">
        <f t="shared" si="3"/>
        <v>10</v>
      </c>
      <c r="B11" s="263"/>
      <c r="C11" s="422" t="s">
        <v>742</v>
      </c>
      <c r="D11" s="422"/>
      <c r="E11" s="422"/>
      <c r="F11" s="422"/>
      <c r="G11" s="422"/>
      <c r="H11" s="422"/>
      <c r="I11" s="241">
        <f>SUM(I9:I10)</f>
        <v>943599.39</v>
      </c>
      <c r="K11" s="264"/>
      <c r="L11" s="264"/>
      <c r="M11" s="264"/>
    </row>
    <row r="12" spans="1:13" ht="149.25" customHeight="1">
      <c r="A12" s="265" t="s">
        <v>80</v>
      </c>
      <c r="B12" s="426" t="s">
        <v>2473</v>
      </c>
      <c r="C12" s="426"/>
      <c r="D12" s="426"/>
      <c r="E12" s="426"/>
      <c r="F12" s="426"/>
      <c r="G12" s="426"/>
      <c r="H12" s="426"/>
      <c r="I12" s="427"/>
      <c r="M12" s="264"/>
    </row>
  </sheetData>
  <mergeCells count="4">
    <mergeCell ref="C9:H9"/>
    <mergeCell ref="C10:H10"/>
    <mergeCell ref="C11:H11"/>
    <mergeCell ref="B12:I12"/>
  </mergeCells>
  <printOptions horizontalCentered="1"/>
  <pageMargins left="0.31496062992125984" right="0.31496062992125984" top="0.55118110236220474" bottom="0.55118110236220474" header="0.31496062992125984" footer="0.31496062992125984"/>
  <pageSetup orientation="landscape" horizontalDpi="4294967292" r:id="rId1"/>
  <headerFooter>
    <oddFooter>Page &amp;P of &amp;N</oddFooter>
  </headerFooter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9D996-7CF9-4614-B7E7-A5D984C9B70C}">
  <dimension ref="A1:M7"/>
  <sheetViews>
    <sheetView zoomScaleNormal="100" workbookViewId="0">
      <selection activeCell="L26" sqref="L26"/>
    </sheetView>
  </sheetViews>
  <sheetFormatPr defaultColWidth="9.140625" defaultRowHeight="12.75"/>
  <cols>
    <col min="1" max="1" width="5.85546875" style="256" bestFit="1" customWidth="1"/>
    <col min="2" max="2" width="17.5703125" style="256" bestFit="1" customWidth="1"/>
    <col min="3" max="3" width="12" style="256" bestFit="1" customWidth="1"/>
    <col min="4" max="4" width="14.7109375" style="256" bestFit="1" customWidth="1"/>
    <col min="5" max="5" width="46.140625" style="256" customWidth="1"/>
    <col min="6" max="6" width="5" style="256" bestFit="1" customWidth="1"/>
    <col min="7" max="7" width="6.7109375" style="256" bestFit="1" customWidth="1"/>
    <col min="8" max="8" width="12.5703125" style="256" bestFit="1" customWidth="1"/>
    <col min="9" max="9" width="16" style="256" customWidth="1"/>
    <col min="10" max="10" width="11.42578125" style="256" bestFit="1" customWidth="1"/>
    <col min="11" max="11" width="12.5703125" style="256" bestFit="1" customWidth="1"/>
    <col min="12" max="12" width="13" style="256" customWidth="1"/>
    <col min="13" max="13" width="13.140625" style="256" customWidth="1"/>
    <col min="14" max="16384" width="9.140625" style="256"/>
  </cols>
  <sheetData>
    <row r="1" spans="1:13" ht="13.5" customHeight="1">
      <c r="A1" s="253" t="s">
        <v>0</v>
      </c>
      <c r="B1" s="253" t="s">
        <v>503</v>
      </c>
      <c r="C1" s="254" t="s">
        <v>1604</v>
      </c>
      <c r="D1" s="254" t="s">
        <v>778</v>
      </c>
      <c r="E1" s="255" t="s">
        <v>67</v>
      </c>
      <c r="F1" s="255" t="s">
        <v>3</v>
      </c>
      <c r="G1" s="254" t="s">
        <v>1582</v>
      </c>
      <c r="H1" s="253" t="s">
        <v>1583</v>
      </c>
      <c r="I1" s="253" t="s">
        <v>1584</v>
      </c>
      <c r="J1" s="256" t="s">
        <v>394</v>
      </c>
      <c r="K1" s="256" t="s">
        <v>145</v>
      </c>
    </row>
    <row r="2" spans="1:13" ht="25.5">
      <c r="A2" s="273">
        <f>ROW()-1</f>
        <v>1</v>
      </c>
      <c r="B2" s="280" t="s">
        <v>2166</v>
      </c>
      <c r="C2" s="260" t="s">
        <v>522</v>
      </c>
      <c r="D2" s="260" t="s">
        <v>522</v>
      </c>
      <c r="E2" s="259" t="s">
        <v>2237</v>
      </c>
      <c r="F2" s="260" t="s">
        <v>1243</v>
      </c>
      <c r="G2" s="260">
        <v>1</v>
      </c>
      <c r="H2" s="261">
        <f>93*1.3*J2</f>
        <v>166842</v>
      </c>
      <c r="I2" s="261">
        <f>H2*G2</f>
        <v>166842</v>
      </c>
      <c r="J2" s="262">
        <v>1380</v>
      </c>
      <c r="K2" s="262">
        <v>1380</v>
      </c>
      <c r="L2" s="262"/>
      <c r="M2" s="262"/>
    </row>
    <row r="3" spans="1:13" ht="25.5">
      <c r="A3" s="273">
        <f>ROW()-1</f>
        <v>2</v>
      </c>
      <c r="B3" s="280" t="s">
        <v>2166</v>
      </c>
      <c r="C3" s="260" t="s">
        <v>522</v>
      </c>
      <c r="D3" s="260" t="s">
        <v>522</v>
      </c>
      <c r="E3" s="259" t="s">
        <v>2238</v>
      </c>
      <c r="F3" s="260" t="s">
        <v>1243</v>
      </c>
      <c r="G3" s="260">
        <v>1</v>
      </c>
      <c r="H3" s="261">
        <f>93*1.3*J3</f>
        <v>243009</v>
      </c>
      <c r="I3" s="261">
        <f>H3*G3</f>
        <v>243009</v>
      </c>
      <c r="J3" s="262">
        <v>2010</v>
      </c>
      <c r="K3" s="262">
        <v>2010</v>
      </c>
      <c r="L3" s="262"/>
      <c r="M3" s="262"/>
    </row>
    <row r="4" spans="1:13">
      <c r="A4" s="273">
        <f t="shared" ref="A4:A6" si="0">ROW()-1</f>
        <v>3</v>
      </c>
      <c r="B4" s="263"/>
      <c r="C4" s="422" t="s">
        <v>76</v>
      </c>
      <c r="D4" s="422"/>
      <c r="E4" s="422"/>
      <c r="F4" s="422"/>
      <c r="G4" s="422"/>
      <c r="H4" s="422"/>
      <c r="I4" s="241">
        <f>SUM(I2:I3)</f>
        <v>409851</v>
      </c>
      <c r="J4" s="264"/>
      <c r="K4" s="264"/>
      <c r="L4" s="264"/>
      <c r="M4" s="264"/>
    </row>
    <row r="5" spans="1:13">
      <c r="A5" s="273">
        <f t="shared" si="0"/>
        <v>4</v>
      </c>
      <c r="B5" s="263"/>
      <c r="C5" s="422" t="s">
        <v>1637</v>
      </c>
      <c r="D5" s="422"/>
      <c r="E5" s="422"/>
      <c r="F5" s="422"/>
      <c r="G5" s="422"/>
      <c r="H5" s="422"/>
      <c r="I5" s="241">
        <f>I4*18%</f>
        <v>73773.179999999993</v>
      </c>
      <c r="K5" s="264"/>
      <c r="L5" s="264"/>
      <c r="M5" s="264"/>
    </row>
    <row r="6" spans="1:13">
      <c r="A6" s="273">
        <f t="shared" si="0"/>
        <v>5</v>
      </c>
      <c r="B6" s="263"/>
      <c r="C6" s="422" t="s">
        <v>742</v>
      </c>
      <c r="D6" s="422"/>
      <c r="E6" s="422"/>
      <c r="F6" s="422"/>
      <c r="G6" s="422"/>
      <c r="H6" s="422"/>
      <c r="I6" s="241">
        <f>SUM(I4:I5)</f>
        <v>483624.18</v>
      </c>
      <c r="K6" s="264"/>
      <c r="L6" s="264"/>
      <c r="M6" s="264"/>
    </row>
    <row r="7" spans="1:13" ht="146.25" customHeight="1">
      <c r="A7" s="265" t="s">
        <v>80</v>
      </c>
      <c r="B7" s="426" t="s">
        <v>1765</v>
      </c>
      <c r="C7" s="426"/>
      <c r="D7" s="426"/>
      <c r="E7" s="426"/>
      <c r="F7" s="426"/>
      <c r="G7" s="426"/>
      <c r="H7" s="426"/>
      <c r="I7" s="427"/>
      <c r="M7" s="264"/>
    </row>
  </sheetData>
  <mergeCells count="4">
    <mergeCell ref="C4:H4"/>
    <mergeCell ref="C5:H5"/>
    <mergeCell ref="C6:H6"/>
    <mergeCell ref="B7:I7"/>
  </mergeCells>
  <printOptions horizontalCentered="1"/>
  <pageMargins left="0.31496062992125984" right="0.31496062992125984" top="0.55118110236220474" bottom="0.55118110236220474" header="0.31496062992125984" footer="0.31496062992125984"/>
  <pageSetup orientation="landscape" horizontalDpi="4294967292" r:id="rId1"/>
  <headerFooter>
    <oddFooter>Page &amp;P of &amp;N</oddFooter>
  </headerFooter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746DA-E4FB-4306-AE2D-F947797B6000}">
  <dimension ref="A1:M8"/>
  <sheetViews>
    <sheetView zoomScale="85" zoomScaleNormal="85" workbookViewId="0">
      <selection activeCell="C4" sqref="C4:H4"/>
    </sheetView>
  </sheetViews>
  <sheetFormatPr defaultColWidth="9.140625" defaultRowHeight="12.75"/>
  <cols>
    <col min="1" max="1" width="5.85546875" style="256" bestFit="1" customWidth="1"/>
    <col min="2" max="2" width="11" style="256" bestFit="1" customWidth="1"/>
    <col min="3" max="3" width="17.42578125" style="256" customWidth="1"/>
    <col min="4" max="4" width="20.42578125" style="256" customWidth="1"/>
    <col min="5" max="5" width="51.140625" style="256" customWidth="1"/>
    <col min="6" max="6" width="5" style="256" bestFit="1" customWidth="1"/>
    <col min="7" max="7" width="6.7109375" style="256" bestFit="1" customWidth="1"/>
    <col min="8" max="8" width="12.5703125" style="256" bestFit="1" customWidth="1"/>
    <col min="9" max="9" width="16" style="256" customWidth="1"/>
    <col min="10" max="10" width="11.42578125" style="256" bestFit="1" customWidth="1"/>
    <col min="11" max="11" width="12.5703125" style="256" bestFit="1" customWidth="1"/>
    <col min="12" max="12" width="13" style="256" customWidth="1"/>
    <col min="13" max="13" width="13.140625" style="256" customWidth="1"/>
    <col min="14" max="16384" width="9.140625" style="256"/>
  </cols>
  <sheetData>
    <row r="1" spans="1:13" ht="13.5" customHeight="1">
      <c r="A1" s="253" t="s">
        <v>0</v>
      </c>
      <c r="B1" s="253" t="s">
        <v>503</v>
      </c>
      <c r="C1" s="254" t="s">
        <v>1604</v>
      </c>
      <c r="D1" s="254" t="s">
        <v>778</v>
      </c>
      <c r="E1" s="255" t="s">
        <v>67</v>
      </c>
      <c r="F1" s="255" t="s">
        <v>3</v>
      </c>
      <c r="G1" s="254" t="s">
        <v>1582</v>
      </c>
      <c r="H1" s="253" t="s">
        <v>1583</v>
      </c>
      <c r="I1" s="253" t="s">
        <v>1584</v>
      </c>
      <c r="J1" s="256" t="s">
        <v>394</v>
      </c>
    </row>
    <row r="2" spans="1:13" ht="45">
      <c r="A2" s="274">
        <f>ROW()-1</f>
        <v>1</v>
      </c>
      <c r="B2" s="274" t="s">
        <v>2167</v>
      </c>
      <c r="C2" s="258"/>
      <c r="D2" s="258"/>
      <c r="E2" s="277" t="s">
        <v>2168</v>
      </c>
      <c r="F2" s="278" t="s">
        <v>75</v>
      </c>
      <c r="G2" s="278">
        <v>1</v>
      </c>
      <c r="H2" s="261">
        <f>J2</f>
        <v>0</v>
      </c>
      <c r="I2" s="261">
        <f>H2*G2</f>
        <v>0</v>
      </c>
      <c r="J2" s="264"/>
      <c r="K2" s="264"/>
      <c r="L2" s="262"/>
      <c r="M2" s="262"/>
    </row>
    <row r="3" spans="1:13" ht="45">
      <c r="A3" s="274">
        <f>ROW()-1</f>
        <v>2</v>
      </c>
      <c r="B3" s="274" t="s">
        <v>2167</v>
      </c>
      <c r="C3" s="258"/>
      <c r="D3" s="258"/>
      <c r="E3" s="277" t="s">
        <v>2404</v>
      </c>
      <c r="F3" s="278" t="s">
        <v>75</v>
      </c>
      <c r="G3" s="278">
        <v>1</v>
      </c>
      <c r="H3" s="261"/>
      <c r="I3" s="261"/>
      <c r="J3" s="264"/>
      <c r="K3" s="264"/>
      <c r="L3" s="262"/>
      <c r="M3" s="262"/>
    </row>
    <row r="4" spans="1:13">
      <c r="A4" s="274">
        <f t="shared" ref="A4:A6" si="0">ROW()-1</f>
        <v>3</v>
      </c>
      <c r="B4" s="263"/>
      <c r="C4" s="422" t="s">
        <v>76</v>
      </c>
      <c r="D4" s="422"/>
      <c r="E4" s="422"/>
      <c r="F4" s="422"/>
      <c r="G4" s="422"/>
      <c r="H4" s="422"/>
      <c r="I4" s="241">
        <f>SUM(I2:I2)</f>
        <v>0</v>
      </c>
      <c r="J4" s="264"/>
      <c r="K4" s="264"/>
      <c r="L4" s="264"/>
      <c r="M4" s="264"/>
    </row>
    <row r="5" spans="1:13">
      <c r="A5" s="274">
        <f t="shared" si="0"/>
        <v>4</v>
      </c>
      <c r="B5" s="263"/>
      <c r="C5" s="422" t="s">
        <v>1637</v>
      </c>
      <c r="D5" s="422"/>
      <c r="E5" s="422"/>
      <c r="F5" s="422"/>
      <c r="G5" s="422"/>
      <c r="H5" s="422"/>
      <c r="I5" s="241">
        <f>I4*18%</f>
        <v>0</v>
      </c>
      <c r="K5" s="264"/>
      <c r="L5" s="264"/>
      <c r="M5" s="264"/>
    </row>
    <row r="6" spans="1:13">
      <c r="A6" s="274">
        <f t="shared" si="0"/>
        <v>5</v>
      </c>
      <c r="B6" s="263"/>
      <c r="C6" s="422" t="s">
        <v>742</v>
      </c>
      <c r="D6" s="422"/>
      <c r="E6" s="422"/>
      <c r="F6" s="422"/>
      <c r="G6" s="422"/>
      <c r="H6" s="422"/>
      <c r="I6" s="241">
        <f>SUM(I4:I5)</f>
        <v>0</v>
      </c>
      <c r="K6" s="264"/>
      <c r="L6" s="264"/>
      <c r="M6" s="264"/>
    </row>
    <row r="7" spans="1:13">
      <c r="A7" s="423"/>
      <c r="B7" s="424"/>
      <c r="C7" s="424"/>
      <c r="D7" s="424"/>
      <c r="E7" s="424"/>
      <c r="F7" s="424"/>
      <c r="G7" s="424"/>
      <c r="H7" s="424"/>
      <c r="I7" s="425"/>
    </row>
    <row r="8" spans="1:13" ht="140.25" customHeight="1">
      <c r="A8" s="265" t="s">
        <v>80</v>
      </c>
      <c r="B8" s="426" t="s">
        <v>1765</v>
      </c>
      <c r="C8" s="426"/>
      <c r="D8" s="426"/>
      <c r="E8" s="426"/>
      <c r="F8" s="426"/>
      <c r="G8" s="426"/>
      <c r="H8" s="426"/>
      <c r="I8" s="427"/>
      <c r="M8" s="264"/>
    </row>
  </sheetData>
  <mergeCells count="5">
    <mergeCell ref="C4:H4"/>
    <mergeCell ref="C5:H5"/>
    <mergeCell ref="C6:H6"/>
    <mergeCell ref="A7:I7"/>
    <mergeCell ref="B8:I8"/>
  </mergeCells>
  <printOptions horizontalCentered="1"/>
  <pageMargins left="0.31496062992125984" right="0.31496062992125984" top="0.55118110236220474" bottom="0.55118110236220474" header="0.31496062992125984" footer="0.31496062992125984"/>
  <pageSetup orientation="landscape" horizontalDpi="4294967292" r:id="rId1"/>
  <headerFooter>
    <oddFooter>Page &amp;P of &amp;N</oddFooter>
  </headerFooter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80DDB-336C-4A43-BEA7-76556910013F}">
  <dimension ref="A1:M15"/>
  <sheetViews>
    <sheetView zoomScaleNormal="100" workbookViewId="0">
      <selection activeCell="A3" sqref="A3:I7"/>
    </sheetView>
  </sheetViews>
  <sheetFormatPr defaultColWidth="9.140625" defaultRowHeight="12.75"/>
  <cols>
    <col min="1" max="1" width="5.85546875" style="256" bestFit="1" customWidth="1"/>
    <col min="2" max="2" width="11" style="256" bestFit="1" customWidth="1"/>
    <col min="3" max="3" width="17.42578125" style="256" customWidth="1"/>
    <col min="4" max="4" width="20.42578125" style="256" customWidth="1"/>
    <col min="5" max="5" width="46.140625" style="256" customWidth="1"/>
    <col min="6" max="6" width="5" style="256" bestFit="1" customWidth="1"/>
    <col min="7" max="7" width="6.7109375" style="256" bestFit="1" customWidth="1"/>
    <col min="8" max="8" width="12.5703125" style="256" bestFit="1" customWidth="1"/>
    <col min="9" max="9" width="16" style="256" customWidth="1"/>
    <col min="10" max="10" width="11.42578125" style="256" bestFit="1" customWidth="1"/>
    <col min="11" max="11" width="12.5703125" style="256" bestFit="1" customWidth="1"/>
    <col min="12" max="12" width="13" style="256" customWidth="1"/>
    <col min="13" max="13" width="13.140625" style="256" customWidth="1"/>
    <col min="14" max="16384" width="9.140625" style="256"/>
  </cols>
  <sheetData>
    <row r="1" spans="1:13" ht="13.5" customHeight="1">
      <c r="A1" s="253" t="s">
        <v>0</v>
      </c>
      <c r="B1" s="253" t="s">
        <v>503</v>
      </c>
      <c r="C1" s="254" t="s">
        <v>1604</v>
      </c>
      <c r="D1" s="254" t="s">
        <v>778</v>
      </c>
      <c r="E1" s="255" t="s">
        <v>67</v>
      </c>
      <c r="F1" s="255" t="s">
        <v>3</v>
      </c>
      <c r="G1" s="254" t="s">
        <v>1582</v>
      </c>
      <c r="H1" s="253" t="s">
        <v>1583</v>
      </c>
      <c r="I1" s="253" t="s">
        <v>1584</v>
      </c>
      <c r="J1" s="256" t="s">
        <v>394</v>
      </c>
    </row>
    <row r="2" spans="1:13" ht="89.25">
      <c r="A2" s="276">
        <f>ROW()-1</f>
        <v>1</v>
      </c>
      <c r="B2" s="276">
        <v>3000122262</v>
      </c>
      <c r="C2" s="258" t="s">
        <v>2170</v>
      </c>
      <c r="D2" s="258" t="s">
        <v>2171</v>
      </c>
      <c r="E2" s="259" t="s">
        <v>2172</v>
      </c>
      <c r="F2" s="260" t="s">
        <v>382</v>
      </c>
      <c r="G2" s="260">
        <v>2</v>
      </c>
      <c r="H2" s="261">
        <f>J2</f>
        <v>0</v>
      </c>
      <c r="I2" s="261">
        <f>H2*G2</f>
        <v>0</v>
      </c>
      <c r="J2" s="264"/>
      <c r="K2" s="264"/>
      <c r="L2" s="262"/>
      <c r="M2" s="262"/>
    </row>
    <row r="3" spans="1:13">
      <c r="A3" s="276">
        <f t="shared" ref="A3:A5" si="0">ROW()-1</f>
        <v>2</v>
      </c>
      <c r="B3" s="263"/>
      <c r="C3" s="422" t="s">
        <v>76</v>
      </c>
      <c r="D3" s="422"/>
      <c r="E3" s="422"/>
      <c r="F3" s="422"/>
      <c r="G3" s="422"/>
      <c r="H3" s="422"/>
      <c r="I3" s="241">
        <f>SUM(I2:I2)</f>
        <v>0</v>
      </c>
      <c r="J3" s="264"/>
      <c r="K3" s="264"/>
      <c r="L3" s="264"/>
      <c r="M3" s="264"/>
    </row>
    <row r="4" spans="1:13">
      <c r="A4" s="276">
        <f t="shared" si="0"/>
        <v>3</v>
      </c>
      <c r="B4" s="263"/>
      <c r="C4" s="422" t="s">
        <v>1637</v>
      </c>
      <c r="D4" s="422"/>
      <c r="E4" s="422"/>
      <c r="F4" s="422"/>
      <c r="G4" s="422"/>
      <c r="H4" s="422"/>
      <c r="I4" s="241">
        <f>I3*18%</f>
        <v>0</v>
      </c>
      <c r="K4" s="264"/>
      <c r="L4" s="264"/>
      <c r="M4" s="264"/>
    </row>
    <row r="5" spans="1:13">
      <c r="A5" s="276">
        <f t="shared" si="0"/>
        <v>4</v>
      </c>
      <c r="B5" s="263"/>
      <c r="C5" s="422" t="s">
        <v>742</v>
      </c>
      <c r="D5" s="422"/>
      <c r="E5" s="422"/>
      <c r="F5" s="422"/>
      <c r="G5" s="422"/>
      <c r="H5" s="422"/>
      <c r="I5" s="241">
        <f>SUM(I3:I4)</f>
        <v>0</v>
      </c>
      <c r="K5" s="264"/>
      <c r="L5" s="264"/>
      <c r="M5" s="264"/>
    </row>
    <row r="6" spans="1:13">
      <c r="A6" s="423"/>
      <c r="B6" s="424"/>
      <c r="C6" s="424"/>
      <c r="D6" s="424"/>
      <c r="E6" s="424"/>
      <c r="F6" s="424"/>
      <c r="G6" s="424"/>
      <c r="H6" s="424"/>
      <c r="I6" s="425"/>
    </row>
    <row r="7" spans="1:13" ht="140.25" customHeight="1">
      <c r="A7" s="265" t="s">
        <v>80</v>
      </c>
      <c r="B7" s="426" t="s">
        <v>1765</v>
      </c>
      <c r="C7" s="426"/>
      <c r="D7" s="426"/>
      <c r="E7" s="426"/>
      <c r="F7" s="426"/>
      <c r="G7" s="426"/>
      <c r="H7" s="426"/>
      <c r="I7" s="427"/>
      <c r="M7" s="264"/>
    </row>
    <row r="15" spans="1:13" ht="15">
      <c r="E15" t="s">
        <v>2169</v>
      </c>
    </row>
  </sheetData>
  <mergeCells count="5">
    <mergeCell ref="C3:H3"/>
    <mergeCell ref="C4:H4"/>
    <mergeCell ref="C5:H5"/>
    <mergeCell ref="A6:I6"/>
    <mergeCell ref="B7:I7"/>
  </mergeCells>
  <printOptions horizontalCentered="1"/>
  <pageMargins left="0.31496062992125984" right="0.31496062992125984" top="0.55118110236220474" bottom="0.55118110236220474" header="0.31496062992125984" footer="0.31496062992125984"/>
  <pageSetup orientation="landscape" horizontalDpi="4294967292" r:id="rId1"/>
  <headerFooter>
    <oddFooter>Page &amp;P of &amp;N</oddFooter>
  </headerFooter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113D2-D58B-4D40-8434-2B906B713F5F}">
  <dimension ref="A1:S40"/>
  <sheetViews>
    <sheetView topLeftCell="A34" zoomScale="85" zoomScaleNormal="85" workbookViewId="0">
      <selection activeCell="B40" sqref="B40:J40"/>
    </sheetView>
  </sheetViews>
  <sheetFormatPr defaultColWidth="9.140625" defaultRowHeight="12.75"/>
  <cols>
    <col min="1" max="1" width="5.85546875" style="256" bestFit="1" customWidth="1"/>
    <col min="2" max="2" width="22.5703125" style="256" customWidth="1"/>
    <col min="3" max="3" width="18.140625" style="256" customWidth="1"/>
    <col min="4" max="4" width="24.140625" style="256" customWidth="1"/>
    <col min="5" max="5" width="18.140625" style="256" customWidth="1"/>
    <col min="6" max="6" width="51.140625" style="256" customWidth="1"/>
    <col min="7" max="7" width="14.140625" style="256" customWidth="1"/>
    <col min="8" max="8" width="9.42578125" style="256" customWidth="1"/>
    <col min="9" max="9" width="23.42578125" style="256" customWidth="1"/>
    <col min="10" max="11" width="20" style="256" customWidth="1"/>
    <col min="12" max="14" width="15" style="262" customWidth="1"/>
    <col min="15" max="15" width="12.5703125" style="256" bestFit="1" customWidth="1"/>
    <col min="16" max="16" width="13" style="256" customWidth="1"/>
    <col min="17" max="17" width="25.140625" style="256" customWidth="1"/>
    <col min="18" max="18" width="9.140625" style="256" customWidth="1"/>
    <col min="19" max="19" width="28.85546875" style="256" customWidth="1"/>
    <col min="20" max="16384" width="9.140625" style="256"/>
  </cols>
  <sheetData>
    <row r="1" spans="1:19" ht="25.5">
      <c r="A1" s="253" t="s">
        <v>0</v>
      </c>
      <c r="B1" s="254" t="s">
        <v>2240</v>
      </c>
      <c r="C1" s="254" t="s">
        <v>2241</v>
      </c>
      <c r="D1" s="254" t="s">
        <v>2242</v>
      </c>
      <c r="E1" s="254" t="s">
        <v>2243</v>
      </c>
      <c r="F1" s="255" t="s">
        <v>67</v>
      </c>
      <c r="G1" s="255" t="s">
        <v>3</v>
      </c>
      <c r="H1" s="254" t="s">
        <v>1582</v>
      </c>
      <c r="I1" s="253" t="s">
        <v>5</v>
      </c>
      <c r="J1" s="253" t="s">
        <v>76</v>
      </c>
      <c r="K1" s="262" t="s">
        <v>394</v>
      </c>
      <c r="L1" s="262" t="s">
        <v>394</v>
      </c>
      <c r="M1" s="262" t="s">
        <v>2104</v>
      </c>
      <c r="N1" s="262" t="s">
        <v>2406</v>
      </c>
      <c r="O1" s="256" t="s">
        <v>145</v>
      </c>
      <c r="P1" s="256" t="s">
        <v>2239</v>
      </c>
      <c r="Q1" s="281" t="s">
        <v>2236</v>
      </c>
      <c r="R1" s="256" t="s">
        <v>2350</v>
      </c>
      <c r="S1" s="256" t="s">
        <v>2351</v>
      </c>
    </row>
    <row r="2" spans="1:19" ht="150">
      <c r="A2" s="279">
        <f>ROW()-1</f>
        <v>1</v>
      </c>
      <c r="B2" s="260" t="s">
        <v>2173</v>
      </c>
      <c r="C2" s="260" t="s">
        <v>1203</v>
      </c>
      <c r="D2" s="260" t="s">
        <v>2244</v>
      </c>
      <c r="E2" s="260"/>
      <c r="F2" s="277" t="s">
        <v>2174</v>
      </c>
      <c r="G2" s="278" t="s">
        <v>1182</v>
      </c>
      <c r="H2" s="278">
        <v>1</v>
      </c>
      <c r="I2" s="286">
        <f>K2*93*1.33</f>
        <v>256471.21500000003</v>
      </c>
      <c r="J2" s="261">
        <f>I2*H2</f>
        <v>256471.21500000003</v>
      </c>
      <c r="K2" s="285">
        <f>L2*1.1</f>
        <v>2073.5</v>
      </c>
      <c r="L2" s="262">
        <v>1885</v>
      </c>
      <c r="M2" s="299">
        <v>2250</v>
      </c>
      <c r="N2" s="301" t="s">
        <v>2407</v>
      </c>
      <c r="O2" s="264">
        <v>1885</v>
      </c>
      <c r="P2" s="262"/>
      <c r="Q2" s="264"/>
    </row>
    <row r="3" spans="1:19" ht="162">
      <c r="A3" s="279">
        <f t="shared" ref="A3:A38" si="0">ROW()-1</f>
        <v>2</v>
      </c>
      <c r="B3" s="260" t="s">
        <v>2175</v>
      </c>
      <c r="C3" s="260" t="s">
        <v>2245</v>
      </c>
      <c r="D3" s="260" t="s">
        <v>2246</v>
      </c>
      <c r="E3" s="260" t="s">
        <v>2247</v>
      </c>
      <c r="F3" s="277" t="s">
        <v>2176</v>
      </c>
      <c r="G3" s="278" t="s">
        <v>121</v>
      </c>
      <c r="H3" s="278">
        <v>8</v>
      </c>
      <c r="I3" s="286">
        <f t="shared" ref="I3:I17" si="1">K3*93*1.33</f>
        <v>9252.0120000000024</v>
      </c>
      <c r="J3" s="261">
        <f t="shared" ref="J3:J35" si="2">I3*H3</f>
        <v>74016.09600000002</v>
      </c>
      <c r="K3" s="285">
        <f t="shared" ref="K3:K17" si="3">L3*1.1</f>
        <v>74.800000000000011</v>
      </c>
      <c r="L3" s="262">
        <v>68</v>
      </c>
      <c r="M3" s="299">
        <v>368</v>
      </c>
      <c r="N3" s="301" t="s">
        <v>2408</v>
      </c>
      <c r="O3" s="264">
        <v>68</v>
      </c>
      <c r="P3" s="262" t="s">
        <v>2335</v>
      </c>
      <c r="Q3" s="264"/>
    </row>
    <row r="4" spans="1:19" ht="150">
      <c r="A4" s="279">
        <f t="shared" si="0"/>
        <v>3</v>
      </c>
      <c r="B4" s="260" t="s">
        <v>2177</v>
      </c>
      <c r="C4" s="260" t="s">
        <v>2248</v>
      </c>
      <c r="D4" s="260" t="s">
        <v>2249</v>
      </c>
      <c r="E4" s="260" t="s">
        <v>2250</v>
      </c>
      <c r="F4" s="277" t="s">
        <v>2178</v>
      </c>
      <c r="G4" s="278" t="s">
        <v>121</v>
      </c>
      <c r="H4" s="278">
        <v>1</v>
      </c>
      <c r="I4" s="286">
        <f t="shared" si="1"/>
        <v>4353.8880000000008</v>
      </c>
      <c r="J4" s="261">
        <f t="shared" si="2"/>
        <v>4353.8880000000008</v>
      </c>
      <c r="K4" s="285">
        <f t="shared" si="3"/>
        <v>35.200000000000003</v>
      </c>
      <c r="L4" s="262">
        <v>32</v>
      </c>
      <c r="M4" s="299">
        <v>45</v>
      </c>
      <c r="N4" s="301" t="s">
        <v>2409</v>
      </c>
      <c r="O4" s="264">
        <v>32</v>
      </c>
      <c r="P4" s="262"/>
      <c r="Q4" s="264"/>
    </row>
    <row r="5" spans="1:19" ht="150">
      <c r="A5" s="279">
        <f t="shared" si="0"/>
        <v>4</v>
      </c>
      <c r="B5" s="260" t="s">
        <v>2179</v>
      </c>
      <c r="C5" s="260" t="s">
        <v>2248</v>
      </c>
      <c r="D5" s="260" t="s">
        <v>2249</v>
      </c>
      <c r="E5" s="260" t="s">
        <v>2251</v>
      </c>
      <c r="F5" s="277" t="s">
        <v>2180</v>
      </c>
      <c r="G5" s="278" t="s">
        <v>121</v>
      </c>
      <c r="H5" s="278">
        <v>1</v>
      </c>
      <c r="I5" s="286">
        <f t="shared" si="1"/>
        <v>1360.5900000000001</v>
      </c>
      <c r="J5" s="261">
        <f t="shared" si="2"/>
        <v>1360.5900000000001</v>
      </c>
      <c r="K5" s="285">
        <f t="shared" si="3"/>
        <v>11</v>
      </c>
      <c r="L5" s="262">
        <v>10</v>
      </c>
      <c r="M5" s="299">
        <v>30</v>
      </c>
      <c r="N5" s="301" t="s">
        <v>2409</v>
      </c>
      <c r="O5" s="264">
        <v>10</v>
      </c>
      <c r="P5" s="262"/>
      <c r="Q5" s="264"/>
    </row>
    <row r="6" spans="1:19" ht="165">
      <c r="A6" s="279">
        <f t="shared" si="0"/>
        <v>5</v>
      </c>
      <c r="B6" s="260" t="s">
        <v>2181</v>
      </c>
      <c r="C6" s="260" t="s">
        <v>2252</v>
      </c>
      <c r="D6" s="260" t="s">
        <v>2253</v>
      </c>
      <c r="E6" s="260" t="s">
        <v>2254</v>
      </c>
      <c r="F6" s="277" t="s">
        <v>2182</v>
      </c>
      <c r="G6" s="278" t="s">
        <v>1182</v>
      </c>
      <c r="H6" s="278" t="s">
        <v>1273</v>
      </c>
      <c r="I6" s="286">
        <f t="shared" si="1"/>
        <v>7347.1860000000015</v>
      </c>
      <c r="J6" s="261">
        <f t="shared" si="2"/>
        <v>7347.1860000000015</v>
      </c>
      <c r="K6" s="285">
        <f t="shared" si="3"/>
        <v>59.400000000000006</v>
      </c>
      <c r="L6" s="262">
        <v>54</v>
      </c>
      <c r="M6" s="299">
        <v>72.73</v>
      </c>
      <c r="N6" s="301" t="s">
        <v>2410</v>
      </c>
      <c r="O6" s="264">
        <v>54</v>
      </c>
      <c r="P6" s="262" t="s">
        <v>2335</v>
      </c>
      <c r="Q6" s="264"/>
    </row>
    <row r="7" spans="1:19" ht="150">
      <c r="A7" s="279">
        <f t="shared" si="0"/>
        <v>6</v>
      </c>
      <c r="B7" s="260" t="s">
        <v>2183</v>
      </c>
      <c r="C7" s="260" t="s">
        <v>2252</v>
      </c>
      <c r="D7" s="260" t="s">
        <v>2255</v>
      </c>
      <c r="E7" s="260" t="s">
        <v>2256</v>
      </c>
      <c r="F7" s="277" t="s">
        <v>2184</v>
      </c>
      <c r="G7" s="278" t="s">
        <v>1182</v>
      </c>
      <c r="H7" s="278" t="s">
        <v>1273</v>
      </c>
      <c r="I7" s="286">
        <f t="shared" si="1"/>
        <v>7075.0680000000011</v>
      </c>
      <c r="J7" s="261">
        <f t="shared" si="2"/>
        <v>7075.0680000000011</v>
      </c>
      <c r="K7" s="285">
        <f t="shared" si="3"/>
        <v>57.2</v>
      </c>
      <c r="L7" s="262">
        <v>52</v>
      </c>
      <c r="M7" s="299">
        <v>160</v>
      </c>
      <c r="N7" s="301" t="s">
        <v>2409</v>
      </c>
      <c r="O7" s="264">
        <v>52</v>
      </c>
      <c r="P7" s="262"/>
      <c r="Q7" s="264"/>
    </row>
    <row r="8" spans="1:19" ht="135">
      <c r="A8" s="279">
        <f t="shared" si="0"/>
        <v>7</v>
      </c>
      <c r="B8" s="260" t="s">
        <v>2185</v>
      </c>
      <c r="C8" s="260" t="s">
        <v>2257</v>
      </c>
      <c r="D8" s="260" t="s">
        <v>2258</v>
      </c>
      <c r="E8" s="260" t="s">
        <v>2259</v>
      </c>
      <c r="F8" s="277" t="s">
        <v>2186</v>
      </c>
      <c r="G8" s="278" t="s">
        <v>1182</v>
      </c>
      <c r="H8" s="278" t="s">
        <v>1273</v>
      </c>
      <c r="I8" s="286">
        <f t="shared" si="1"/>
        <v>59865.960000000014</v>
      </c>
      <c r="J8" s="261">
        <f t="shared" si="2"/>
        <v>59865.960000000014</v>
      </c>
      <c r="K8" s="285">
        <f t="shared" si="3"/>
        <v>484.00000000000006</v>
      </c>
      <c r="L8" s="262">
        <v>440</v>
      </c>
      <c r="M8" s="299">
        <v>0</v>
      </c>
      <c r="N8" s="301" t="s">
        <v>2411</v>
      </c>
      <c r="O8" s="264">
        <v>440</v>
      </c>
      <c r="P8" s="262"/>
      <c r="Q8" s="264"/>
    </row>
    <row r="9" spans="1:19" ht="150">
      <c r="A9" s="279">
        <f t="shared" si="0"/>
        <v>8</v>
      </c>
      <c r="B9" s="260" t="s">
        <v>2187</v>
      </c>
      <c r="C9" s="260" t="s">
        <v>2260</v>
      </c>
      <c r="D9" s="260" t="s">
        <v>2261</v>
      </c>
      <c r="E9" s="260" t="s">
        <v>2262</v>
      </c>
      <c r="F9" s="277" t="s">
        <v>2263</v>
      </c>
      <c r="G9" s="278" t="s">
        <v>1182</v>
      </c>
      <c r="H9" s="278" t="s">
        <v>1930</v>
      </c>
      <c r="I9" s="286">
        <f t="shared" si="1"/>
        <v>6802.9500000000016</v>
      </c>
      <c r="J9" s="261">
        <f t="shared" si="2"/>
        <v>20408.850000000006</v>
      </c>
      <c r="K9" s="285">
        <f t="shared" si="3"/>
        <v>55.000000000000007</v>
      </c>
      <c r="L9" s="262">
        <v>50</v>
      </c>
      <c r="M9" s="299">
        <v>59</v>
      </c>
      <c r="N9" s="301" t="s">
        <v>2412</v>
      </c>
      <c r="O9" s="264">
        <v>50</v>
      </c>
      <c r="P9" s="262"/>
      <c r="Q9" s="264"/>
    </row>
    <row r="10" spans="1:19" ht="108">
      <c r="A10" s="279">
        <f t="shared" si="0"/>
        <v>9</v>
      </c>
      <c r="B10" s="260" t="s">
        <v>2188</v>
      </c>
      <c r="C10" s="260" t="s">
        <v>2264</v>
      </c>
      <c r="D10" s="260" t="s">
        <v>2265</v>
      </c>
      <c r="E10" s="260" t="s">
        <v>2266</v>
      </c>
      <c r="F10" s="277" t="s">
        <v>2189</v>
      </c>
      <c r="G10" s="278" t="s">
        <v>1182</v>
      </c>
      <c r="H10" s="278" t="s">
        <v>1273</v>
      </c>
      <c r="I10" s="286">
        <f t="shared" si="1"/>
        <v>53063.010000000009</v>
      </c>
      <c r="J10" s="261">
        <f t="shared" si="2"/>
        <v>53063.010000000009</v>
      </c>
      <c r="K10" s="285">
        <f t="shared" si="3"/>
        <v>429.00000000000006</v>
      </c>
      <c r="L10" s="262">
        <v>390</v>
      </c>
      <c r="M10" s="299">
        <v>0</v>
      </c>
      <c r="N10" s="302" t="s">
        <v>2413</v>
      </c>
      <c r="O10" s="264">
        <v>390</v>
      </c>
      <c r="P10" s="262"/>
      <c r="Q10" s="264"/>
    </row>
    <row r="11" spans="1:19" ht="165">
      <c r="A11" s="279">
        <f t="shared" si="0"/>
        <v>10</v>
      </c>
      <c r="B11" s="260" t="s">
        <v>2190</v>
      </c>
      <c r="C11" s="260" t="s">
        <v>2267</v>
      </c>
      <c r="D11" s="260" t="s">
        <v>2268</v>
      </c>
      <c r="E11" s="260" t="s">
        <v>2269</v>
      </c>
      <c r="F11" s="277" t="s">
        <v>2191</v>
      </c>
      <c r="G11" s="278" t="s">
        <v>1182</v>
      </c>
      <c r="H11" s="278" t="s">
        <v>2192</v>
      </c>
      <c r="I11" s="286">
        <f t="shared" si="1"/>
        <v>544.2360000000001</v>
      </c>
      <c r="J11" s="261">
        <f t="shared" si="2"/>
        <v>27211.800000000007</v>
      </c>
      <c r="K11" s="285">
        <f t="shared" si="3"/>
        <v>4.4000000000000004</v>
      </c>
      <c r="L11" s="262">
        <v>4</v>
      </c>
      <c r="M11" s="299">
        <v>0</v>
      </c>
      <c r="N11" s="301" t="s">
        <v>2411</v>
      </c>
      <c r="O11" s="264">
        <v>4</v>
      </c>
      <c r="P11" s="262"/>
      <c r="Q11" s="264"/>
    </row>
    <row r="12" spans="1:19" ht="108">
      <c r="A12" s="279">
        <f t="shared" si="0"/>
        <v>11</v>
      </c>
      <c r="B12" s="260" t="s">
        <v>2193</v>
      </c>
      <c r="C12" s="260" t="s">
        <v>2270</v>
      </c>
      <c r="D12" s="260" t="s">
        <v>2271</v>
      </c>
      <c r="E12" s="260" t="s">
        <v>2272</v>
      </c>
      <c r="F12" s="277" t="s">
        <v>2194</v>
      </c>
      <c r="G12" s="278" t="s">
        <v>121</v>
      </c>
      <c r="H12" s="278" t="s">
        <v>1272</v>
      </c>
      <c r="I12" s="286">
        <f t="shared" si="1"/>
        <v>28572.390000000007</v>
      </c>
      <c r="J12" s="261">
        <f t="shared" si="2"/>
        <v>57144.780000000013</v>
      </c>
      <c r="K12" s="285">
        <f t="shared" si="3"/>
        <v>231.00000000000003</v>
      </c>
      <c r="L12" s="262">
        <v>210</v>
      </c>
      <c r="M12" s="299">
        <v>410</v>
      </c>
      <c r="N12" s="301" t="s">
        <v>2414</v>
      </c>
      <c r="O12" s="264">
        <v>210</v>
      </c>
      <c r="P12" s="262"/>
      <c r="Q12" s="264"/>
    </row>
    <row r="13" spans="1:19" ht="165">
      <c r="A13" s="279">
        <f t="shared" si="0"/>
        <v>12</v>
      </c>
      <c r="B13" s="260" t="s">
        <v>102</v>
      </c>
      <c r="C13" s="260" t="s">
        <v>2273</v>
      </c>
      <c r="D13" s="275" t="s">
        <v>2274</v>
      </c>
      <c r="E13" s="275" t="s">
        <v>2275</v>
      </c>
      <c r="F13" s="277" t="s">
        <v>2195</v>
      </c>
      <c r="G13" s="278" t="s">
        <v>121</v>
      </c>
      <c r="H13" s="278" t="s">
        <v>1273</v>
      </c>
      <c r="I13" s="286">
        <f t="shared" si="1"/>
        <v>16327.080000000002</v>
      </c>
      <c r="J13" s="261">
        <f t="shared" si="2"/>
        <v>16327.080000000002</v>
      </c>
      <c r="K13" s="285">
        <f t="shared" si="3"/>
        <v>132</v>
      </c>
      <c r="L13" s="287">
        <v>120</v>
      </c>
      <c r="M13" s="300">
        <v>0</v>
      </c>
      <c r="N13" s="301" t="s">
        <v>2414</v>
      </c>
      <c r="O13" s="264"/>
      <c r="P13" s="262" t="s">
        <v>2336</v>
      </c>
      <c r="Q13" s="264"/>
      <c r="S13" s="256" t="s">
        <v>2352</v>
      </c>
    </row>
    <row r="14" spans="1:19" ht="71.25">
      <c r="A14" s="279">
        <f t="shared" si="0"/>
        <v>13</v>
      </c>
      <c r="B14" s="260" t="s">
        <v>2196</v>
      </c>
      <c r="C14" s="260" t="s">
        <v>2276</v>
      </c>
      <c r="D14" s="260" t="s">
        <v>2277</v>
      </c>
      <c r="E14" s="260" t="s">
        <v>2278</v>
      </c>
      <c r="F14" s="277" t="s">
        <v>2197</v>
      </c>
      <c r="G14" s="278" t="s">
        <v>121</v>
      </c>
      <c r="H14" s="278" t="s">
        <v>1273</v>
      </c>
      <c r="I14" s="286">
        <f t="shared" si="1"/>
        <v>1156501.5</v>
      </c>
      <c r="J14" s="261">
        <f t="shared" si="2"/>
        <v>1156501.5</v>
      </c>
      <c r="K14" s="285">
        <f t="shared" si="3"/>
        <v>9350</v>
      </c>
      <c r="L14" s="262">
        <v>8500</v>
      </c>
      <c r="M14" s="300">
        <v>0</v>
      </c>
      <c r="N14" s="303" t="s">
        <v>2415</v>
      </c>
      <c r="O14" s="264">
        <v>8500</v>
      </c>
      <c r="P14" s="262"/>
      <c r="Q14" s="264"/>
    </row>
    <row r="15" spans="1:19" ht="204">
      <c r="A15" s="279">
        <f t="shared" si="0"/>
        <v>14</v>
      </c>
      <c r="B15" s="260" t="s">
        <v>2198</v>
      </c>
      <c r="C15" s="260" t="s">
        <v>2245</v>
      </c>
      <c r="D15" s="260" t="s">
        <v>2279</v>
      </c>
      <c r="E15" s="260" t="s">
        <v>2280</v>
      </c>
      <c r="F15" s="277" t="s">
        <v>2199</v>
      </c>
      <c r="G15" s="278" t="s">
        <v>1182</v>
      </c>
      <c r="H15" s="278" t="s">
        <v>1381</v>
      </c>
      <c r="I15" s="286">
        <f t="shared" si="1"/>
        <v>72111.27</v>
      </c>
      <c r="J15" s="261">
        <f t="shared" si="2"/>
        <v>288445.08</v>
      </c>
      <c r="K15" s="285">
        <f t="shared" si="3"/>
        <v>583</v>
      </c>
      <c r="L15" s="262">
        <v>530</v>
      </c>
      <c r="M15" s="300">
        <v>0</v>
      </c>
      <c r="N15" s="303" t="s">
        <v>2415</v>
      </c>
      <c r="O15" s="264">
        <v>530</v>
      </c>
      <c r="P15" s="282" t="s">
        <v>2337</v>
      </c>
      <c r="Q15" s="264"/>
    </row>
    <row r="16" spans="1:19" ht="90">
      <c r="A16" s="279">
        <f t="shared" si="0"/>
        <v>15</v>
      </c>
      <c r="B16" s="260" t="s">
        <v>2200</v>
      </c>
      <c r="C16" s="260" t="s">
        <v>2281</v>
      </c>
      <c r="D16" s="275" t="s">
        <v>2282</v>
      </c>
      <c r="E16" s="275" t="s">
        <v>2283</v>
      </c>
      <c r="F16" s="277" t="s">
        <v>2201</v>
      </c>
      <c r="G16" s="278" t="s">
        <v>121</v>
      </c>
      <c r="H16" s="278" t="s">
        <v>1303</v>
      </c>
      <c r="I16" s="286">
        <f t="shared" si="1"/>
        <v>74832.45</v>
      </c>
      <c r="J16" s="261">
        <f t="shared" si="2"/>
        <v>374162.25</v>
      </c>
      <c r="K16" s="285">
        <f t="shared" si="3"/>
        <v>605</v>
      </c>
      <c r="L16" s="262">
        <v>550</v>
      </c>
      <c r="M16" s="300">
        <v>0</v>
      </c>
      <c r="N16" s="303" t="s">
        <v>2415</v>
      </c>
      <c r="O16" s="264"/>
      <c r="P16" s="262" t="s">
        <v>2338</v>
      </c>
      <c r="Q16" s="264"/>
      <c r="S16" s="292" t="s">
        <v>2353</v>
      </c>
    </row>
    <row r="17" spans="1:19" ht="150">
      <c r="A17" s="279">
        <f t="shared" si="0"/>
        <v>16</v>
      </c>
      <c r="B17" s="260" t="s">
        <v>2202</v>
      </c>
      <c r="C17" s="260" t="s">
        <v>2284</v>
      </c>
      <c r="D17" s="260" t="s">
        <v>2285</v>
      </c>
      <c r="E17" s="260" t="s">
        <v>2286</v>
      </c>
      <c r="F17" s="277" t="s">
        <v>2203</v>
      </c>
      <c r="G17" s="278" t="s">
        <v>1182</v>
      </c>
      <c r="H17" s="278" t="s">
        <v>1272</v>
      </c>
      <c r="I17" s="286">
        <f t="shared" si="1"/>
        <v>680.29500000000007</v>
      </c>
      <c r="J17" s="261">
        <f t="shared" si="2"/>
        <v>1360.5900000000001</v>
      </c>
      <c r="K17" s="285">
        <f t="shared" si="3"/>
        <v>5.5</v>
      </c>
      <c r="L17" s="262">
        <v>5</v>
      </c>
      <c r="M17" s="300">
        <v>0</v>
      </c>
      <c r="N17" s="303" t="s">
        <v>2415</v>
      </c>
      <c r="O17" s="264">
        <v>5</v>
      </c>
      <c r="P17" s="262"/>
      <c r="Q17" s="264"/>
    </row>
    <row r="18" spans="1:19" ht="90">
      <c r="A18" s="279">
        <f t="shared" si="0"/>
        <v>17</v>
      </c>
      <c r="B18" s="260" t="s">
        <v>2204</v>
      </c>
      <c r="C18" s="260" t="s">
        <v>2287</v>
      </c>
      <c r="D18" s="275" t="s">
        <v>2288</v>
      </c>
      <c r="E18" s="275" t="s">
        <v>2289</v>
      </c>
      <c r="F18" s="277" t="s">
        <v>2205</v>
      </c>
      <c r="G18" s="278" t="s">
        <v>121</v>
      </c>
      <c r="H18" s="278">
        <v>1</v>
      </c>
      <c r="I18" s="286">
        <f>L18*93*1.33</f>
        <v>0</v>
      </c>
      <c r="J18" s="261">
        <f t="shared" si="2"/>
        <v>0</v>
      </c>
      <c r="K18" s="285"/>
      <c r="M18" s="300">
        <v>35</v>
      </c>
      <c r="N18" s="303" t="s">
        <v>2416</v>
      </c>
      <c r="O18" s="264" t="s">
        <v>2344</v>
      </c>
      <c r="P18" s="262"/>
      <c r="Q18" s="264">
        <v>302</v>
      </c>
      <c r="R18" s="264">
        <v>795</v>
      </c>
      <c r="S18" s="256" t="s">
        <v>2354</v>
      </c>
    </row>
    <row r="19" spans="1:19" ht="135">
      <c r="A19" s="279">
        <f t="shared" si="0"/>
        <v>18</v>
      </c>
      <c r="B19" s="260" t="s">
        <v>2206</v>
      </c>
      <c r="C19" s="260" t="s">
        <v>2290</v>
      </c>
      <c r="D19" s="275" t="s">
        <v>2291</v>
      </c>
      <c r="E19" s="275" t="s">
        <v>2292</v>
      </c>
      <c r="F19" s="277" t="s">
        <v>2293</v>
      </c>
      <c r="G19" s="278" t="s">
        <v>1182</v>
      </c>
      <c r="H19" s="278" t="s">
        <v>1273</v>
      </c>
      <c r="I19" s="286">
        <f t="shared" ref="I19:I21" si="4">K19*93*1.33</f>
        <v>12245.310000000003</v>
      </c>
      <c r="J19" s="261">
        <f t="shared" si="2"/>
        <v>12245.310000000003</v>
      </c>
      <c r="K19" s="285">
        <f t="shared" ref="K19:K21" si="5">L19*1.1</f>
        <v>99.000000000000014</v>
      </c>
      <c r="L19" s="262">
        <v>90</v>
      </c>
      <c r="M19" s="300">
        <v>0</v>
      </c>
      <c r="N19" s="303" t="s">
        <v>2415</v>
      </c>
      <c r="O19" s="264"/>
      <c r="P19" s="262"/>
      <c r="Q19" s="264"/>
    </row>
    <row r="20" spans="1:19" ht="165">
      <c r="A20" s="279">
        <f t="shared" si="0"/>
        <v>19</v>
      </c>
      <c r="B20" s="260" t="s">
        <v>2207</v>
      </c>
      <c r="C20" s="260" t="s">
        <v>2294</v>
      </c>
      <c r="D20" s="260" t="s">
        <v>2295</v>
      </c>
      <c r="E20" s="260"/>
      <c r="F20" s="277" t="s">
        <v>2208</v>
      </c>
      <c r="G20" s="278" t="s">
        <v>1182</v>
      </c>
      <c r="H20" s="278" t="s">
        <v>1272</v>
      </c>
      <c r="I20" s="286">
        <f t="shared" si="4"/>
        <v>360556.35000000009</v>
      </c>
      <c r="J20" s="261">
        <f t="shared" si="2"/>
        <v>721112.70000000019</v>
      </c>
      <c r="K20" s="285">
        <f t="shared" si="5"/>
        <v>2915.0000000000005</v>
      </c>
      <c r="L20" s="262">
        <v>2650</v>
      </c>
      <c r="M20" s="300">
        <v>0</v>
      </c>
      <c r="N20" s="303" t="s">
        <v>2417</v>
      </c>
      <c r="O20" s="264">
        <v>2650</v>
      </c>
      <c r="P20" s="262"/>
      <c r="Q20" s="264"/>
    </row>
    <row r="21" spans="1:19" ht="180">
      <c r="A21" s="279">
        <f t="shared" si="0"/>
        <v>20</v>
      </c>
      <c r="B21" s="260" t="s">
        <v>2209</v>
      </c>
      <c r="C21" s="260" t="s">
        <v>2294</v>
      </c>
      <c r="D21" s="275" t="s">
        <v>2296</v>
      </c>
      <c r="E21" s="275" t="s">
        <v>2297</v>
      </c>
      <c r="F21" s="277" t="s">
        <v>2210</v>
      </c>
      <c r="G21" s="278" t="s">
        <v>1182</v>
      </c>
      <c r="H21" s="278" t="s">
        <v>1272</v>
      </c>
      <c r="I21" s="286">
        <f t="shared" si="4"/>
        <v>23130.030000000006</v>
      </c>
      <c r="J21" s="261">
        <f t="shared" si="2"/>
        <v>46260.060000000012</v>
      </c>
      <c r="K21" s="285">
        <f t="shared" si="5"/>
        <v>187.00000000000003</v>
      </c>
      <c r="L21" s="262">
        <v>170</v>
      </c>
      <c r="M21" s="300">
        <v>0</v>
      </c>
      <c r="N21" s="303" t="s">
        <v>2417</v>
      </c>
      <c r="O21" s="264"/>
      <c r="P21" s="262" t="s">
        <v>2339</v>
      </c>
      <c r="Q21" s="264"/>
      <c r="S21" s="256" t="s">
        <v>2355</v>
      </c>
    </row>
    <row r="22" spans="1:19" ht="90">
      <c r="A22" s="279">
        <f t="shared" si="0"/>
        <v>21</v>
      </c>
      <c r="B22" s="260" t="s">
        <v>2211</v>
      </c>
      <c r="C22" s="260" t="s">
        <v>2298</v>
      </c>
      <c r="D22" s="275" t="s">
        <v>2299</v>
      </c>
      <c r="E22" s="275" t="s">
        <v>2300</v>
      </c>
      <c r="F22" s="277" t="s">
        <v>2301</v>
      </c>
      <c r="G22" s="278" t="s">
        <v>221</v>
      </c>
      <c r="H22" s="278" t="s">
        <v>1415</v>
      </c>
      <c r="I22" s="286">
        <f>L22*93*1.33</f>
        <v>0</v>
      </c>
      <c r="J22" s="261">
        <f t="shared" si="2"/>
        <v>0</v>
      </c>
      <c r="K22" s="285"/>
      <c r="M22" s="300">
        <v>0</v>
      </c>
      <c r="N22" s="303" t="s">
        <v>2417</v>
      </c>
      <c r="O22" s="264" t="s">
        <v>116</v>
      </c>
      <c r="P22" s="262"/>
      <c r="Q22" s="264"/>
    </row>
    <row r="23" spans="1:19" ht="120">
      <c r="A23" s="279">
        <f t="shared" si="0"/>
        <v>22</v>
      </c>
      <c r="B23" s="260" t="s">
        <v>2212</v>
      </c>
      <c r="C23" s="260" t="s">
        <v>2302</v>
      </c>
      <c r="D23" s="260" t="s">
        <v>2303</v>
      </c>
      <c r="E23" s="260" t="s">
        <v>2304</v>
      </c>
      <c r="F23" s="277" t="s">
        <v>2213</v>
      </c>
      <c r="G23" s="278" t="s">
        <v>121</v>
      </c>
      <c r="H23" s="278">
        <v>50</v>
      </c>
      <c r="I23" s="286">
        <f>K23*93*1.33</f>
        <v>136.05900000000003</v>
      </c>
      <c r="J23" s="261">
        <f t="shared" si="2"/>
        <v>6802.9500000000016</v>
      </c>
      <c r="K23" s="285">
        <f>L23*1.1</f>
        <v>1.1000000000000001</v>
      </c>
      <c r="L23" s="262">
        <v>1</v>
      </c>
      <c r="M23" s="299">
        <v>0</v>
      </c>
      <c r="N23" s="303" t="s">
        <v>2418</v>
      </c>
      <c r="O23" s="264">
        <v>1</v>
      </c>
      <c r="P23" s="262"/>
      <c r="Q23" s="264"/>
    </row>
    <row r="24" spans="1:19" ht="105">
      <c r="A24" s="279">
        <f t="shared" si="0"/>
        <v>23</v>
      </c>
      <c r="B24" s="260" t="s">
        <v>2214</v>
      </c>
      <c r="C24" s="260" t="s">
        <v>2305</v>
      </c>
      <c r="D24" s="275" t="s">
        <v>2306</v>
      </c>
      <c r="E24" s="275" t="s">
        <v>2307</v>
      </c>
      <c r="F24" s="277" t="s">
        <v>2215</v>
      </c>
      <c r="G24" s="278" t="s">
        <v>1182</v>
      </c>
      <c r="H24" s="278">
        <v>1</v>
      </c>
      <c r="I24" s="286">
        <f>L24*93*1.33</f>
        <v>0</v>
      </c>
      <c r="J24" s="261">
        <f t="shared" si="2"/>
        <v>0</v>
      </c>
      <c r="K24" s="285"/>
      <c r="M24" s="299">
        <v>0</v>
      </c>
      <c r="N24" s="303" t="s">
        <v>2418</v>
      </c>
      <c r="O24" s="283" t="s">
        <v>2346</v>
      </c>
      <c r="P24" s="262"/>
      <c r="Q24" s="264" t="s">
        <v>2340</v>
      </c>
      <c r="S24" s="256" t="s">
        <v>2356</v>
      </c>
    </row>
    <row r="25" spans="1:19" ht="299.25">
      <c r="A25" s="279">
        <f t="shared" si="0"/>
        <v>24</v>
      </c>
      <c r="B25" s="260" t="s">
        <v>2216</v>
      </c>
      <c r="C25" s="260" t="s">
        <v>2308</v>
      </c>
      <c r="D25" s="260" t="s">
        <v>2309</v>
      </c>
      <c r="E25" s="260" t="s">
        <v>2310</v>
      </c>
      <c r="F25" s="277" t="s">
        <v>2217</v>
      </c>
      <c r="G25" s="278" t="s">
        <v>1182</v>
      </c>
      <c r="H25" s="278">
        <v>20</v>
      </c>
      <c r="I25" s="286">
        <f t="shared" ref="I25:I26" si="6">K25*93*1.33</f>
        <v>72111.27</v>
      </c>
      <c r="J25" s="261">
        <f t="shared" si="2"/>
        <v>1442225.4000000001</v>
      </c>
      <c r="K25" s="285">
        <f t="shared" ref="K25:K26" si="7">L25*1.1</f>
        <v>583</v>
      </c>
      <c r="L25" s="262">
        <v>530</v>
      </c>
      <c r="M25" s="299">
        <v>0</v>
      </c>
      <c r="N25" s="303" t="s">
        <v>2419</v>
      </c>
      <c r="O25" s="264">
        <v>530</v>
      </c>
      <c r="P25" s="262"/>
      <c r="Q25" s="283" t="s">
        <v>2341</v>
      </c>
    </row>
    <row r="26" spans="1:19" ht="75">
      <c r="A26" s="279">
        <f t="shared" si="0"/>
        <v>25</v>
      </c>
      <c r="B26" s="260" t="s">
        <v>2218</v>
      </c>
      <c r="C26" s="260" t="s">
        <v>2311</v>
      </c>
      <c r="D26" s="275" t="s">
        <v>2312</v>
      </c>
      <c r="E26" s="275" t="s">
        <v>2313</v>
      </c>
      <c r="F26" s="277" t="s">
        <v>2219</v>
      </c>
      <c r="G26" s="278" t="s">
        <v>121</v>
      </c>
      <c r="H26" s="278" t="s">
        <v>1930</v>
      </c>
      <c r="I26" s="286">
        <f t="shared" si="6"/>
        <v>122453.10000000002</v>
      </c>
      <c r="J26" s="261">
        <f t="shared" si="2"/>
        <v>367359.30000000005</v>
      </c>
      <c r="K26" s="285">
        <f t="shared" si="7"/>
        <v>990.00000000000011</v>
      </c>
      <c r="L26" s="262">
        <v>900</v>
      </c>
      <c r="M26" s="299">
        <v>850</v>
      </c>
      <c r="N26" s="303" t="s">
        <v>2420</v>
      </c>
      <c r="O26" s="264" t="s">
        <v>2345</v>
      </c>
      <c r="P26" s="262"/>
      <c r="Q26" s="264"/>
    </row>
    <row r="27" spans="1:19" ht="60">
      <c r="A27" s="279">
        <f t="shared" si="0"/>
        <v>26</v>
      </c>
      <c r="B27" s="260" t="s">
        <v>2220</v>
      </c>
      <c r="C27" s="260" t="s">
        <v>2314</v>
      </c>
      <c r="D27" s="275" t="s">
        <v>2315</v>
      </c>
      <c r="E27" s="275" t="s">
        <v>2316</v>
      </c>
      <c r="F27" s="277" t="s">
        <v>2221</v>
      </c>
      <c r="G27" s="278" t="s">
        <v>121</v>
      </c>
      <c r="H27" s="278" t="s">
        <v>1302</v>
      </c>
      <c r="I27" s="286">
        <f>L27*93*1.33</f>
        <v>0</v>
      </c>
      <c r="J27" s="261">
        <f t="shared" si="2"/>
        <v>0</v>
      </c>
      <c r="K27" s="285"/>
      <c r="M27" s="299">
        <v>950</v>
      </c>
      <c r="N27" s="303" t="s">
        <v>2421</v>
      </c>
      <c r="O27" s="264" t="s">
        <v>2345</v>
      </c>
      <c r="P27" s="262"/>
      <c r="Q27" s="264"/>
    </row>
    <row r="28" spans="1:19" ht="120">
      <c r="A28" s="279">
        <f t="shared" si="0"/>
        <v>27</v>
      </c>
      <c r="B28" s="260" t="s">
        <v>2222</v>
      </c>
      <c r="C28" s="260" t="s">
        <v>2317</v>
      </c>
      <c r="D28" s="275" t="s">
        <v>2282</v>
      </c>
      <c r="E28" s="275" t="s">
        <v>2318</v>
      </c>
      <c r="F28" s="277" t="s">
        <v>2223</v>
      </c>
      <c r="G28" s="278" t="s">
        <v>1182</v>
      </c>
      <c r="H28" s="278" t="s">
        <v>1273</v>
      </c>
      <c r="I28" s="286">
        <f>K28*93*1.33</f>
        <v>16327.080000000002</v>
      </c>
      <c r="J28" s="261">
        <f t="shared" si="2"/>
        <v>16327.080000000002</v>
      </c>
      <c r="K28" s="285">
        <f>L28*1.1</f>
        <v>132</v>
      </c>
      <c r="L28" s="262">
        <v>120</v>
      </c>
      <c r="M28" s="299">
        <v>0</v>
      </c>
      <c r="N28" s="303" t="s">
        <v>2422</v>
      </c>
      <c r="O28" s="264" t="s">
        <v>2345</v>
      </c>
      <c r="P28" s="262"/>
      <c r="Q28" s="264"/>
    </row>
    <row r="29" spans="1:19" ht="60">
      <c r="A29" s="279">
        <f t="shared" si="0"/>
        <v>28</v>
      </c>
      <c r="B29" s="260" t="s">
        <v>2224</v>
      </c>
      <c r="C29" s="260" t="s">
        <v>2319</v>
      </c>
      <c r="D29" s="275" t="s">
        <v>2320</v>
      </c>
      <c r="E29" s="275" t="s">
        <v>2321</v>
      </c>
      <c r="F29" s="277" t="s">
        <v>2225</v>
      </c>
      <c r="G29" s="278" t="s">
        <v>121</v>
      </c>
      <c r="H29" s="278" t="s">
        <v>1273</v>
      </c>
      <c r="I29" s="286">
        <f>L29*93*1.33</f>
        <v>0</v>
      </c>
      <c r="J29" s="261">
        <f t="shared" si="2"/>
        <v>0</v>
      </c>
      <c r="K29" s="285"/>
      <c r="M29" s="299">
        <v>0</v>
      </c>
      <c r="N29" s="303" t="s">
        <v>2422</v>
      </c>
      <c r="O29" s="264" t="s">
        <v>2347</v>
      </c>
      <c r="P29" s="262"/>
      <c r="Q29" s="264"/>
    </row>
    <row r="30" spans="1:19" ht="135">
      <c r="A30" s="279">
        <f t="shared" si="0"/>
        <v>29</v>
      </c>
      <c r="B30" s="260" t="s">
        <v>175</v>
      </c>
      <c r="C30" s="260" t="s">
        <v>2308</v>
      </c>
      <c r="D30" s="260" t="s">
        <v>2282</v>
      </c>
      <c r="E30" s="260"/>
      <c r="F30" s="277" t="s">
        <v>2226</v>
      </c>
      <c r="G30" s="278" t="s">
        <v>1182</v>
      </c>
      <c r="H30" s="278" t="s">
        <v>1273</v>
      </c>
      <c r="I30" s="286">
        <f t="shared" ref="I30:I32" si="8">K30*93*1.33</f>
        <v>142861.95000000001</v>
      </c>
      <c r="J30" s="261">
        <f t="shared" si="2"/>
        <v>142861.95000000001</v>
      </c>
      <c r="K30" s="285">
        <f t="shared" ref="K30:K32" si="9">L30*1.1</f>
        <v>1155</v>
      </c>
      <c r="L30" s="288">
        <v>1050</v>
      </c>
      <c r="M30" s="299">
        <v>1390</v>
      </c>
      <c r="N30" s="301" t="s">
        <v>2423</v>
      </c>
      <c r="O30" s="261">
        <v>1050</v>
      </c>
      <c r="P30" s="262"/>
      <c r="Q30" s="264"/>
    </row>
    <row r="31" spans="1:19" ht="120">
      <c r="A31" s="279">
        <f t="shared" si="0"/>
        <v>30</v>
      </c>
      <c r="B31" s="260" t="s">
        <v>2227</v>
      </c>
      <c r="C31" s="260" t="s">
        <v>2322</v>
      </c>
      <c r="D31" s="260" t="s">
        <v>2323</v>
      </c>
      <c r="E31" s="260" t="s">
        <v>2324</v>
      </c>
      <c r="F31" s="277" t="s">
        <v>2228</v>
      </c>
      <c r="G31" s="278" t="s">
        <v>121</v>
      </c>
      <c r="H31" s="278">
        <v>3</v>
      </c>
      <c r="I31" s="286">
        <f t="shared" si="8"/>
        <v>84356.58</v>
      </c>
      <c r="J31" s="261">
        <f t="shared" si="2"/>
        <v>253069.74</v>
      </c>
      <c r="K31" s="285">
        <f t="shared" si="9"/>
        <v>682</v>
      </c>
      <c r="L31" s="288">
        <v>620</v>
      </c>
      <c r="M31" s="299">
        <v>750</v>
      </c>
      <c r="N31" s="301" t="s">
        <v>2424</v>
      </c>
      <c r="O31" s="261">
        <v>620</v>
      </c>
      <c r="P31" s="262"/>
      <c r="Q31" s="264"/>
    </row>
    <row r="32" spans="1:19" ht="135">
      <c r="A32" s="279">
        <f t="shared" si="0"/>
        <v>31</v>
      </c>
      <c r="B32" s="260" t="s">
        <v>2229</v>
      </c>
      <c r="C32" s="260" t="s">
        <v>2325</v>
      </c>
      <c r="D32" s="275" t="s">
        <v>2282</v>
      </c>
      <c r="E32" s="275" t="s">
        <v>2326</v>
      </c>
      <c r="F32" s="277" t="s">
        <v>2230</v>
      </c>
      <c r="G32" s="278" t="s">
        <v>121</v>
      </c>
      <c r="H32" s="278" t="s">
        <v>1385</v>
      </c>
      <c r="I32" s="286">
        <f t="shared" si="8"/>
        <v>24490.620000000006</v>
      </c>
      <c r="J32" s="261">
        <f t="shared" si="2"/>
        <v>587774.88000000012</v>
      </c>
      <c r="K32" s="285">
        <f t="shared" si="9"/>
        <v>198.00000000000003</v>
      </c>
      <c r="L32" s="262">
        <v>180</v>
      </c>
      <c r="M32" s="299">
        <v>0</v>
      </c>
      <c r="N32" s="303" t="s">
        <v>2425</v>
      </c>
      <c r="O32" s="264" t="s">
        <v>2345</v>
      </c>
      <c r="P32" s="262" t="s">
        <v>2342</v>
      </c>
      <c r="Q32" s="264"/>
      <c r="S32" s="256" t="s">
        <v>2357</v>
      </c>
    </row>
    <row r="33" spans="1:19" ht="60">
      <c r="A33" s="279">
        <f t="shared" si="0"/>
        <v>32</v>
      </c>
      <c r="B33" s="260" t="s">
        <v>2231</v>
      </c>
      <c r="C33" s="260" t="s">
        <v>2327</v>
      </c>
      <c r="D33" s="275" t="s">
        <v>2328</v>
      </c>
      <c r="E33" s="275" t="s">
        <v>2329</v>
      </c>
      <c r="F33" s="277" t="s">
        <v>2330</v>
      </c>
      <c r="G33" s="278" t="s">
        <v>121</v>
      </c>
      <c r="H33" s="278">
        <v>1</v>
      </c>
      <c r="I33" s="286">
        <f>L33*93*1.33</f>
        <v>0</v>
      </c>
      <c r="J33" s="261">
        <f t="shared" si="2"/>
        <v>0</v>
      </c>
      <c r="K33" s="285"/>
      <c r="M33" s="299">
        <v>0</v>
      </c>
      <c r="N33" s="303" t="s">
        <v>2426</v>
      </c>
      <c r="O33" s="264" t="s">
        <v>2348</v>
      </c>
      <c r="P33" s="284" t="s">
        <v>2343</v>
      </c>
      <c r="Q33" s="264"/>
      <c r="S33" s="256" t="s">
        <v>2349</v>
      </c>
    </row>
    <row r="34" spans="1:19" ht="165">
      <c r="A34" s="279">
        <f t="shared" si="0"/>
        <v>33</v>
      </c>
      <c r="B34" s="260" t="s">
        <v>2232</v>
      </c>
      <c r="C34" s="260" t="s">
        <v>2331</v>
      </c>
      <c r="D34" s="260" t="s">
        <v>2332</v>
      </c>
      <c r="E34" s="260" t="s">
        <v>2333</v>
      </c>
      <c r="F34" s="277" t="s">
        <v>2233</v>
      </c>
      <c r="G34" s="278" t="s">
        <v>121</v>
      </c>
      <c r="H34" s="278">
        <v>6</v>
      </c>
      <c r="I34" s="286">
        <f>K34*93*1.33</f>
        <v>102044.25000000003</v>
      </c>
      <c r="J34" s="261">
        <f t="shared" si="2"/>
        <v>612265.50000000023</v>
      </c>
      <c r="K34" s="285">
        <f>L34*1.1</f>
        <v>825.00000000000011</v>
      </c>
      <c r="L34" s="288">
        <v>750</v>
      </c>
      <c r="M34" s="299">
        <v>0</v>
      </c>
      <c r="N34" s="303" t="s">
        <v>2427</v>
      </c>
      <c r="O34" s="261">
        <v>750</v>
      </c>
      <c r="P34" s="262"/>
      <c r="Q34" s="264"/>
    </row>
    <row r="35" spans="1:19" ht="90">
      <c r="A35" s="279">
        <f t="shared" si="0"/>
        <v>34</v>
      </c>
      <c r="B35" s="260" t="s">
        <v>2234</v>
      </c>
      <c r="C35" s="260" t="s">
        <v>2334</v>
      </c>
      <c r="D35" s="275" t="s">
        <v>2282</v>
      </c>
      <c r="E35" s="275"/>
      <c r="F35" s="277" t="s">
        <v>2235</v>
      </c>
      <c r="G35" s="278" t="s">
        <v>121</v>
      </c>
      <c r="H35" s="278">
        <v>12</v>
      </c>
      <c r="I35" s="286">
        <f>L35*93*1.33</f>
        <v>0</v>
      </c>
      <c r="J35" s="261">
        <f t="shared" si="2"/>
        <v>0</v>
      </c>
      <c r="K35" s="285"/>
      <c r="M35" s="299">
        <v>0</v>
      </c>
      <c r="N35" s="303" t="s">
        <v>2425</v>
      </c>
      <c r="O35" s="264" t="s">
        <v>2349</v>
      </c>
      <c r="P35" s="284" t="s">
        <v>2343</v>
      </c>
      <c r="Q35" s="264"/>
      <c r="S35" s="256" t="s">
        <v>2349</v>
      </c>
    </row>
    <row r="36" spans="1:19">
      <c r="A36" s="279">
        <f t="shared" si="0"/>
        <v>35</v>
      </c>
      <c r="B36" s="263"/>
      <c r="C36" s="422" t="s">
        <v>76</v>
      </c>
      <c r="D36" s="422"/>
      <c r="E36" s="422"/>
      <c r="F36" s="422"/>
      <c r="G36" s="422"/>
      <c r="H36" s="422"/>
      <c r="I36" s="422"/>
      <c r="J36" s="241">
        <f>SUM(J2:J35)</f>
        <v>6613419.813000001</v>
      </c>
      <c r="K36" s="289"/>
      <c r="O36" s="264"/>
      <c r="P36" s="264"/>
      <c r="Q36" s="264"/>
    </row>
    <row r="37" spans="1:19">
      <c r="A37" s="279">
        <f t="shared" si="0"/>
        <v>36</v>
      </c>
      <c r="B37" s="263"/>
      <c r="C37" s="422" t="s">
        <v>1637</v>
      </c>
      <c r="D37" s="422"/>
      <c r="E37" s="422"/>
      <c r="F37" s="422"/>
      <c r="G37" s="422"/>
      <c r="H37" s="422"/>
      <c r="I37" s="422"/>
      <c r="J37" s="241">
        <f>J36*18%</f>
        <v>1190415.5663400001</v>
      </c>
      <c r="K37" s="289"/>
      <c r="Q37" s="264"/>
    </row>
    <row r="38" spans="1:19">
      <c r="A38" s="279">
        <f t="shared" si="0"/>
        <v>37</v>
      </c>
      <c r="B38" s="263"/>
      <c r="C38" s="422" t="s">
        <v>742</v>
      </c>
      <c r="D38" s="422"/>
      <c r="E38" s="422"/>
      <c r="F38" s="422"/>
      <c r="G38" s="422"/>
      <c r="H38" s="422"/>
      <c r="I38" s="422"/>
      <c r="J38" s="241">
        <f>SUM(J36:J37)</f>
        <v>7803835.3793400014</v>
      </c>
      <c r="K38" s="289"/>
      <c r="Q38" s="264"/>
    </row>
    <row r="39" spans="1:19">
      <c r="A39" s="423"/>
      <c r="B39" s="424"/>
      <c r="C39" s="424"/>
      <c r="D39" s="424"/>
      <c r="E39" s="424"/>
      <c r="F39" s="424"/>
      <c r="G39" s="424"/>
      <c r="H39" s="424"/>
      <c r="I39" s="424"/>
      <c r="J39" s="425"/>
      <c r="K39" s="290"/>
    </row>
    <row r="40" spans="1:19" ht="140.25">
      <c r="A40" s="265" t="s">
        <v>80</v>
      </c>
      <c r="B40" s="426" t="s">
        <v>1765</v>
      </c>
      <c r="C40" s="426"/>
      <c r="D40" s="426"/>
      <c r="E40" s="426"/>
      <c r="F40" s="426"/>
      <c r="G40" s="426"/>
      <c r="H40" s="426"/>
      <c r="I40" s="426"/>
      <c r="J40" s="427"/>
      <c r="K40" s="291"/>
    </row>
  </sheetData>
  <mergeCells count="5">
    <mergeCell ref="C36:I36"/>
    <mergeCell ref="C37:I37"/>
    <mergeCell ref="C38:I38"/>
    <mergeCell ref="A39:J39"/>
    <mergeCell ref="B40:J40"/>
  </mergeCells>
  <printOptions horizontalCentered="1"/>
  <pageMargins left="0.31496062992125984" right="0.31496062992125984" top="0.55118110236220474" bottom="0.55118110236220474" header="0.31496062992125984" footer="0.31496062992125984"/>
  <pageSetup orientation="landscape" horizontalDpi="4294967292" r:id="rId1"/>
  <headerFooter>
    <oddFooter>Page &amp;P of &amp;N</oddFooter>
  </headerFooter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4B64E-811F-4C7C-98B0-28A7DA99A204}">
  <dimension ref="A1:P19"/>
  <sheetViews>
    <sheetView topLeftCell="A3" zoomScaleNormal="100" workbookViewId="0">
      <selection activeCell="P3" sqref="P3"/>
    </sheetView>
  </sheetViews>
  <sheetFormatPr defaultColWidth="9.140625" defaultRowHeight="12.75"/>
  <cols>
    <col min="1" max="1" width="5.85546875" style="256" bestFit="1" customWidth="1"/>
    <col min="2" max="2" width="15" style="256" customWidth="1"/>
    <col min="3" max="3" width="17.42578125" style="256" customWidth="1"/>
    <col min="4" max="4" width="20.42578125" style="256" customWidth="1"/>
    <col min="5" max="5" width="46.140625" style="256" customWidth="1"/>
    <col min="6" max="6" width="5" style="256" bestFit="1" customWidth="1"/>
    <col min="7" max="7" width="6.7109375" style="256" bestFit="1" customWidth="1"/>
    <col min="8" max="8" width="12.5703125" style="256" bestFit="1" customWidth="1"/>
    <col min="9" max="9" width="12.5703125" style="256" customWidth="1"/>
    <col min="10" max="10" width="12.5703125" style="256" bestFit="1" customWidth="1"/>
    <col min="11" max="11" width="13.28515625" style="256" bestFit="1" customWidth="1"/>
    <col min="12" max="12" width="13" style="256" customWidth="1"/>
    <col min="13" max="13" width="13.140625" style="256" customWidth="1"/>
    <col min="14" max="14" width="11.140625" style="256" bestFit="1" customWidth="1"/>
    <col min="15" max="15" width="10.140625" style="256" bestFit="1" customWidth="1"/>
    <col min="16" max="16" width="11.140625" style="256" bestFit="1" customWidth="1"/>
    <col min="17" max="16384" width="9.140625" style="256"/>
  </cols>
  <sheetData>
    <row r="1" spans="1:16" ht="13.5" customHeight="1">
      <c r="A1" s="253" t="s">
        <v>0</v>
      </c>
      <c r="B1" s="253" t="s">
        <v>2358</v>
      </c>
      <c r="C1" s="254" t="s">
        <v>2359</v>
      </c>
      <c r="D1" s="254" t="s">
        <v>2360</v>
      </c>
      <c r="E1" s="255" t="s">
        <v>67</v>
      </c>
      <c r="F1" s="255" t="s">
        <v>3</v>
      </c>
      <c r="G1" s="254" t="s">
        <v>1582</v>
      </c>
      <c r="H1" s="253" t="s">
        <v>1583</v>
      </c>
      <c r="I1" s="253" t="s">
        <v>76</v>
      </c>
      <c r="J1" s="256" t="s">
        <v>394</v>
      </c>
      <c r="K1" s="256" t="s">
        <v>2429</v>
      </c>
      <c r="L1" s="256" t="s">
        <v>2392</v>
      </c>
      <c r="M1" s="256" t="s">
        <v>2405</v>
      </c>
      <c r="N1" s="256" t="s">
        <v>2428</v>
      </c>
      <c r="O1" s="256" t="s">
        <v>2436</v>
      </c>
      <c r="P1" s="256" t="s">
        <v>2437</v>
      </c>
    </row>
    <row r="2" spans="1:16" ht="153">
      <c r="A2" s="293">
        <f>ROW()-1</f>
        <v>1</v>
      </c>
      <c r="B2" s="293" t="s">
        <v>2361</v>
      </c>
      <c r="C2" s="258" t="s">
        <v>2362</v>
      </c>
      <c r="D2" s="260" t="s">
        <v>2363</v>
      </c>
      <c r="E2" s="259" t="s">
        <v>2364</v>
      </c>
      <c r="F2" s="260" t="s">
        <v>121</v>
      </c>
      <c r="G2" s="260" t="s">
        <v>1302</v>
      </c>
      <c r="H2" s="261">
        <f>J2</f>
        <v>0</v>
      </c>
      <c r="I2" s="261">
        <f>H2*G2</f>
        <v>0</v>
      </c>
      <c r="J2" s="264"/>
      <c r="K2" s="264"/>
      <c r="L2" s="262"/>
      <c r="M2" s="262"/>
    </row>
    <row r="3" spans="1:16" ht="102">
      <c r="A3" s="293">
        <f t="shared" ref="A3:A11" si="0">ROW()-1</f>
        <v>2</v>
      </c>
      <c r="B3" s="293" t="s">
        <v>2317</v>
      </c>
      <c r="C3" s="258" t="s">
        <v>2365</v>
      </c>
      <c r="D3" s="260" t="s">
        <v>2366</v>
      </c>
      <c r="E3" s="259" t="s">
        <v>2367</v>
      </c>
      <c r="F3" s="260" t="s">
        <v>121</v>
      </c>
      <c r="G3" s="260" t="s">
        <v>1302</v>
      </c>
      <c r="H3" s="261">
        <f t="shared" ref="H3:H11" si="1">J3</f>
        <v>3850</v>
      </c>
      <c r="I3" s="261">
        <f t="shared" ref="I3:I11" si="2">H3*G3</f>
        <v>23100</v>
      </c>
      <c r="J3" s="264">
        <v>3850</v>
      </c>
      <c r="K3" s="264">
        <v>2890</v>
      </c>
      <c r="L3" s="282" t="s">
        <v>2393</v>
      </c>
      <c r="M3" s="262"/>
    </row>
    <row r="4" spans="1:16" ht="38.25">
      <c r="A4" s="293">
        <f t="shared" si="0"/>
        <v>3</v>
      </c>
      <c r="B4" s="293" t="s">
        <v>2368</v>
      </c>
      <c r="C4" s="258"/>
      <c r="D4" s="260"/>
      <c r="E4" s="259" t="s">
        <v>2369</v>
      </c>
      <c r="F4" s="260" t="s">
        <v>121</v>
      </c>
      <c r="G4" s="260" t="s">
        <v>1302</v>
      </c>
      <c r="H4" s="261">
        <f t="shared" si="1"/>
        <v>600</v>
      </c>
      <c r="I4" s="261">
        <f t="shared" si="2"/>
        <v>3600</v>
      </c>
      <c r="J4" s="264">
        <v>600</v>
      </c>
      <c r="K4" s="264">
        <v>390</v>
      </c>
      <c r="L4" s="264">
        <v>390</v>
      </c>
      <c r="M4" s="262"/>
    </row>
    <row r="5" spans="1:16" ht="140.25">
      <c r="A5" s="293">
        <f t="shared" si="0"/>
        <v>4</v>
      </c>
      <c r="B5" s="293" t="s">
        <v>2317</v>
      </c>
      <c r="C5" s="258" t="s">
        <v>2370</v>
      </c>
      <c r="D5" s="260" t="s">
        <v>2371</v>
      </c>
      <c r="E5" s="259" t="s">
        <v>2372</v>
      </c>
      <c r="F5" s="260" t="s">
        <v>1182</v>
      </c>
      <c r="G5" s="260" t="s">
        <v>1384</v>
      </c>
      <c r="H5" s="261">
        <f t="shared" si="1"/>
        <v>12000</v>
      </c>
      <c r="I5" s="261">
        <f t="shared" si="2"/>
        <v>120000</v>
      </c>
      <c r="J5" s="264">
        <v>12000</v>
      </c>
      <c r="K5" s="264">
        <v>8000</v>
      </c>
      <c r="L5" s="264"/>
      <c r="M5" s="264">
        <v>8000</v>
      </c>
    </row>
    <row r="6" spans="1:16" ht="140.25">
      <c r="A6" s="293">
        <f t="shared" si="0"/>
        <v>5</v>
      </c>
      <c r="B6" s="293" t="s">
        <v>2317</v>
      </c>
      <c r="C6" s="258" t="s">
        <v>2373</v>
      </c>
      <c r="D6" s="260" t="s">
        <v>2371</v>
      </c>
      <c r="E6" s="259" t="s">
        <v>2374</v>
      </c>
      <c r="F6" s="260" t="s">
        <v>1182</v>
      </c>
      <c r="G6" s="260" t="s">
        <v>1415</v>
      </c>
      <c r="H6" s="261">
        <f t="shared" si="1"/>
        <v>15500</v>
      </c>
      <c r="I6" s="261">
        <f t="shared" si="2"/>
        <v>186000</v>
      </c>
      <c r="J6" s="264">
        <v>15500</v>
      </c>
      <c r="K6" s="264">
        <v>12000</v>
      </c>
      <c r="L6" s="264"/>
      <c r="M6" s="264">
        <v>12000</v>
      </c>
    </row>
    <row r="7" spans="1:16" ht="127.5">
      <c r="A7" s="293">
        <f t="shared" si="0"/>
        <v>6</v>
      </c>
      <c r="B7" s="293" t="s">
        <v>2375</v>
      </c>
      <c r="C7" s="260" t="s">
        <v>2376</v>
      </c>
      <c r="D7" s="260" t="s">
        <v>2377</v>
      </c>
      <c r="E7" s="259" t="s">
        <v>2378</v>
      </c>
      <c r="F7" s="260" t="s">
        <v>121</v>
      </c>
      <c r="G7" s="260" t="s">
        <v>2379</v>
      </c>
      <c r="H7" s="261">
        <f t="shared" si="1"/>
        <v>2150</v>
      </c>
      <c r="I7" s="261">
        <f t="shared" si="2"/>
        <v>32250</v>
      </c>
      <c r="J7" s="264">
        <v>2150</v>
      </c>
      <c r="K7" s="264">
        <v>1670</v>
      </c>
      <c r="L7" s="264">
        <v>1670</v>
      </c>
      <c r="M7" s="262"/>
    </row>
    <row r="8" spans="1:16" ht="102">
      <c r="A8" s="293">
        <f t="shared" si="0"/>
        <v>7</v>
      </c>
      <c r="B8" s="293" t="s">
        <v>2252</v>
      </c>
      <c r="C8" s="258" t="s">
        <v>2380</v>
      </c>
      <c r="D8" s="260" t="s">
        <v>2381</v>
      </c>
      <c r="E8" s="259" t="s">
        <v>2382</v>
      </c>
      <c r="F8" s="260" t="s">
        <v>121</v>
      </c>
      <c r="G8" s="260" t="s">
        <v>1412</v>
      </c>
      <c r="H8" s="261">
        <f t="shared" si="1"/>
        <v>24500</v>
      </c>
      <c r="I8" s="261">
        <f t="shared" si="2"/>
        <v>196000</v>
      </c>
      <c r="J8" s="264">
        <v>24500</v>
      </c>
      <c r="K8" s="264">
        <v>21210</v>
      </c>
      <c r="L8" s="262"/>
      <c r="M8" s="262"/>
      <c r="N8" s="264">
        <v>21210</v>
      </c>
    </row>
    <row r="9" spans="1:16" ht="51">
      <c r="A9" s="293">
        <f t="shared" si="0"/>
        <v>8</v>
      </c>
      <c r="B9" s="293" t="s">
        <v>2383</v>
      </c>
      <c r="C9" s="258"/>
      <c r="D9" s="260"/>
      <c r="E9" s="259" t="s">
        <v>2384</v>
      </c>
      <c r="F9" s="260" t="s">
        <v>1182</v>
      </c>
      <c r="G9" s="260" t="s">
        <v>1412</v>
      </c>
      <c r="H9" s="261">
        <f t="shared" si="1"/>
        <v>1950</v>
      </c>
      <c r="I9" s="261">
        <f t="shared" si="2"/>
        <v>15600</v>
      </c>
      <c r="J9" s="264">
        <v>1950</v>
      </c>
      <c r="K9" s="264">
        <v>1440</v>
      </c>
      <c r="L9" s="282" t="s">
        <v>2394</v>
      </c>
      <c r="M9" s="262"/>
      <c r="O9" s="264">
        <v>1550</v>
      </c>
    </row>
    <row r="10" spans="1:16" ht="229.5">
      <c r="A10" s="293">
        <f t="shared" si="0"/>
        <v>9</v>
      </c>
      <c r="B10" s="293" t="s">
        <v>2385</v>
      </c>
      <c r="C10" s="258"/>
      <c r="D10" s="260" t="s">
        <v>2386</v>
      </c>
      <c r="E10" s="259" t="s">
        <v>2387</v>
      </c>
      <c r="F10" s="260" t="s">
        <v>121</v>
      </c>
      <c r="G10" s="260" t="s">
        <v>1272</v>
      </c>
      <c r="H10" s="261">
        <f t="shared" si="1"/>
        <v>38600</v>
      </c>
      <c r="I10" s="261">
        <f t="shared" si="2"/>
        <v>77200</v>
      </c>
      <c r="J10" s="264">
        <v>38600</v>
      </c>
      <c r="K10" s="264">
        <v>33600</v>
      </c>
      <c r="L10" s="264">
        <v>33600</v>
      </c>
      <c r="M10" s="262"/>
      <c r="P10" s="264">
        <v>37500</v>
      </c>
    </row>
    <row r="11" spans="1:16" ht="63.75">
      <c r="A11" s="294">
        <f t="shared" si="0"/>
        <v>10</v>
      </c>
      <c r="B11" s="294" t="s">
        <v>2388</v>
      </c>
      <c r="C11" s="295" t="s">
        <v>2389</v>
      </c>
      <c r="D11" s="296" t="s">
        <v>2390</v>
      </c>
      <c r="E11" s="297" t="s">
        <v>2391</v>
      </c>
      <c r="F11" s="296" t="s">
        <v>1182</v>
      </c>
      <c r="G11" s="296" t="s">
        <v>1930</v>
      </c>
      <c r="H11" s="261">
        <f t="shared" si="1"/>
        <v>28500</v>
      </c>
      <c r="I11" s="261">
        <f t="shared" si="2"/>
        <v>85500</v>
      </c>
      <c r="J11" s="264">
        <v>28500</v>
      </c>
      <c r="K11" s="264">
        <v>22800</v>
      </c>
      <c r="L11" s="264">
        <v>22800</v>
      </c>
      <c r="M11" s="262"/>
      <c r="P11" s="264">
        <v>19800</v>
      </c>
    </row>
    <row r="12" spans="1:16">
      <c r="A12" s="434" t="s">
        <v>510</v>
      </c>
      <c r="B12" s="434"/>
      <c r="C12" s="434"/>
      <c r="D12" s="434"/>
      <c r="E12" s="434"/>
      <c r="F12" s="434"/>
      <c r="G12" s="434"/>
      <c r="H12" s="434"/>
      <c r="I12" s="305">
        <f>SUM(I2:I11)</f>
        <v>739250</v>
      </c>
    </row>
    <row r="13" spans="1:16">
      <c r="A13" s="435" t="s">
        <v>2430</v>
      </c>
      <c r="B13" s="435"/>
      <c r="C13" s="435"/>
      <c r="D13" s="435"/>
      <c r="E13" s="435"/>
      <c r="F13" s="435"/>
      <c r="G13" s="435"/>
      <c r="H13" s="435"/>
      <c r="I13" s="306">
        <f>I12*18%</f>
        <v>133065</v>
      </c>
    </row>
    <row r="14" spans="1:16">
      <c r="A14" s="436" t="s">
        <v>510</v>
      </c>
      <c r="B14" s="436"/>
      <c r="C14" s="436"/>
      <c r="D14" s="436"/>
      <c r="E14" s="436"/>
      <c r="F14" s="436"/>
      <c r="G14" s="436"/>
      <c r="H14" s="436"/>
      <c r="I14" s="306">
        <f>SUM(I12:I13)</f>
        <v>872315</v>
      </c>
    </row>
    <row r="19" spans="5:5" ht="15">
      <c r="E19"/>
    </row>
  </sheetData>
  <mergeCells count="3">
    <mergeCell ref="A12:H12"/>
    <mergeCell ref="A13:H13"/>
    <mergeCell ref="A14:H14"/>
  </mergeCells>
  <printOptions horizontalCentered="1"/>
  <pageMargins left="0.31496062992125984" right="0.31496062992125984" top="0.55118110236220474" bottom="0.55118110236220474" header="0.31496062992125984" footer="0.31496062992125984"/>
  <pageSetup orientation="landscape" horizontalDpi="4294967292" r:id="rId1"/>
  <headerFooter>
    <oddFooter>Page &amp;P of &amp;N</oddFooter>
  </headerFooter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EFCAC-BADE-499B-AE7D-5C254F87306C}">
  <dimension ref="A1:M17"/>
  <sheetViews>
    <sheetView zoomScaleNormal="100" workbookViewId="0">
      <selection activeCell="C1" sqref="C1:E4"/>
    </sheetView>
  </sheetViews>
  <sheetFormatPr defaultColWidth="9.140625" defaultRowHeight="12.75"/>
  <cols>
    <col min="1" max="1" width="5.85546875" style="256" bestFit="1" customWidth="1"/>
    <col min="2" max="2" width="11" style="256" bestFit="1" customWidth="1"/>
    <col min="3" max="3" width="17.42578125" style="256" customWidth="1"/>
    <col min="4" max="4" width="20.42578125" style="256" customWidth="1"/>
    <col min="5" max="5" width="46.140625" style="256" customWidth="1"/>
    <col min="6" max="6" width="5" style="256" bestFit="1" customWidth="1"/>
    <col min="7" max="7" width="6.7109375" style="256" bestFit="1" customWidth="1"/>
    <col min="8" max="8" width="12.5703125" style="256" bestFit="1" customWidth="1"/>
    <col min="9" max="9" width="16" style="256" customWidth="1"/>
    <col min="10" max="10" width="11.42578125" style="256" bestFit="1" customWidth="1"/>
    <col min="11" max="11" width="12.5703125" style="256" bestFit="1" customWidth="1"/>
    <col min="12" max="12" width="13" style="256" customWidth="1"/>
    <col min="13" max="13" width="13.140625" style="256" customWidth="1"/>
    <col min="14" max="16384" width="9.140625" style="256"/>
  </cols>
  <sheetData>
    <row r="1" spans="1:13" ht="13.5" customHeight="1">
      <c r="A1" s="253" t="s">
        <v>0</v>
      </c>
      <c r="B1" s="253" t="s">
        <v>503</v>
      </c>
      <c r="C1" s="254" t="s">
        <v>1604</v>
      </c>
      <c r="D1" s="254" t="s">
        <v>778</v>
      </c>
      <c r="E1" s="255" t="s">
        <v>67</v>
      </c>
      <c r="F1" s="255" t="s">
        <v>3</v>
      </c>
      <c r="G1" s="254" t="s">
        <v>1582</v>
      </c>
      <c r="H1" s="253" t="s">
        <v>1583</v>
      </c>
      <c r="I1" s="253" t="s">
        <v>1584</v>
      </c>
      <c r="J1" s="256" t="s">
        <v>394</v>
      </c>
      <c r="K1" s="256" t="s">
        <v>2104</v>
      </c>
    </row>
    <row r="2" spans="1:13" ht="63.75">
      <c r="A2" s="298">
        <f>ROW()-1</f>
        <v>1</v>
      </c>
      <c r="B2" s="298">
        <v>3000122264</v>
      </c>
      <c r="C2" s="258" t="s">
        <v>2397</v>
      </c>
      <c r="D2" s="259" t="s">
        <v>2395</v>
      </c>
      <c r="E2" s="259" t="s">
        <v>2396</v>
      </c>
      <c r="F2" s="260" t="s">
        <v>391</v>
      </c>
      <c r="G2" s="260">
        <v>3</v>
      </c>
      <c r="H2" s="261">
        <f>95*1.33*J2</f>
        <v>94762.5</v>
      </c>
      <c r="I2" s="261">
        <f>H2*G2</f>
        <v>284287.5</v>
      </c>
      <c r="J2" s="262">
        <v>750</v>
      </c>
      <c r="K2" s="262">
        <v>750</v>
      </c>
      <c r="L2" s="262"/>
      <c r="M2" s="262"/>
    </row>
    <row r="3" spans="1:13" ht="76.5">
      <c r="A3" s="298">
        <f t="shared" ref="A3:A4" si="0">ROW()-1</f>
        <v>2</v>
      </c>
      <c r="B3" s="298">
        <v>3000122264</v>
      </c>
      <c r="C3" s="258" t="s">
        <v>2400</v>
      </c>
      <c r="D3" s="259" t="s">
        <v>2398</v>
      </c>
      <c r="E3" s="259" t="s">
        <v>2399</v>
      </c>
      <c r="F3" s="260" t="s">
        <v>391</v>
      </c>
      <c r="G3" s="260">
        <v>3</v>
      </c>
      <c r="H3" s="261">
        <f>95*1.33*J3</f>
        <v>98553</v>
      </c>
      <c r="I3" s="261">
        <f>H3*G3</f>
        <v>295659</v>
      </c>
      <c r="J3" s="262">
        <v>780</v>
      </c>
      <c r="K3" s="262">
        <v>780</v>
      </c>
      <c r="L3" s="262"/>
      <c r="M3" s="262"/>
    </row>
    <row r="4" spans="1:13" ht="51">
      <c r="A4" s="298">
        <f t="shared" si="0"/>
        <v>3</v>
      </c>
      <c r="B4" s="298">
        <v>3000122264</v>
      </c>
      <c r="C4" s="258" t="s">
        <v>2402</v>
      </c>
      <c r="D4" s="259" t="s">
        <v>2401</v>
      </c>
      <c r="E4" s="259" t="s">
        <v>2403</v>
      </c>
      <c r="F4" s="260" t="s">
        <v>391</v>
      </c>
      <c r="G4" s="260">
        <v>1</v>
      </c>
      <c r="H4" s="261">
        <f>95*1.33*J4</f>
        <v>0</v>
      </c>
      <c r="I4" s="261">
        <f>H4*G4</f>
        <v>0</v>
      </c>
      <c r="J4" s="264"/>
      <c r="K4" s="264" t="s">
        <v>116</v>
      </c>
      <c r="L4" s="262"/>
      <c r="M4" s="262"/>
    </row>
    <row r="5" spans="1:13">
      <c r="A5" s="298">
        <f t="shared" ref="A5:A7" si="1">ROW()-1</f>
        <v>4</v>
      </c>
      <c r="B5" s="263"/>
      <c r="C5" s="422" t="s">
        <v>76</v>
      </c>
      <c r="D5" s="422"/>
      <c r="E5" s="422"/>
      <c r="F5" s="422"/>
      <c r="G5" s="422"/>
      <c r="H5" s="422"/>
      <c r="I5" s="241">
        <f>SUM(I2:I4)</f>
        <v>579946.5</v>
      </c>
      <c r="J5" s="264"/>
      <c r="K5" s="264"/>
      <c r="L5" s="264"/>
      <c r="M5" s="264"/>
    </row>
    <row r="6" spans="1:13">
      <c r="A6" s="298">
        <f t="shared" si="1"/>
        <v>5</v>
      </c>
      <c r="B6" s="263"/>
      <c r="C6" s="422" t="s">
        <v>1637</v>
      </c>
      <c r="D6" s="422"/>
      <c r="E6" s="422"/>
      <c r="F6" s="422"/>
      <c r="G6" s="422"/>
      <c r="H6" s="422"/>
      <c r="I6" s="185">
        <f>I5*18%</f>
        <v>104390.37</v>
      </c>
      <c r="K6" s="264"/>
      <c r="L6" s="264"/>
      <c r="M6" s="264"/>
    </row>
    <row r="7" spans="1:13">
      <c r="A7" s="298">
        <f t="shared" si="1"/>
        <v>6</v>
      </c>
      <c r="B7" s="263"/>
      <c r="C7" s="422" t="s">
        <v>742</v>
      </c>
      <c r="D7" s="422"/>
      <c r="E7" s="422"/>
      <c r="F7" s="422"/>
      <c r="G7" s="422"/>
      <c r="H7" s="422"/>
      <c r="I7" s="241">
        <f>SUM(I5:I6)</f>
        <v>684336.87</v>
      </c>
      <c r="K7" s="264"/>
      <c r="L7" s="264"/>
      <c r="M7" s="264"/>
    </row>
    <row r="8" spans="1:13">
      <c r="A8" s="423"/>
      <c r="B8" s="424"/>
      <c r="C8" s="424"/>
      <c r="D8" s="424"/>
      <c r="E8" s="424"/>
      <c r="F8" s="424"/>
      <c r="G8" s="424"/>
      <c r="H8" s="424"/>
      <c r="I8" s="425"/>
    </row>
    <row r="9" spans="1:13" ht="140.25" customHeight="1">
      <c r="A9" s="265" t="s">
        <v>80</v>
      </c>
      <c r="B9" s="426" t="s">
        <v>1765</v>
      </c>
      <c r="C9" s="426"/>
      <c r="D9" s="426"/>
      <c r="E9" s="426"/>
      <c r="F9" s="426"/>
      <c r="G9" s="426"/>
      <c r="H9" s="426"/>
      <c r="I9" s="427"/>
      <c r="M9" s="264"/>
    </row>
    <row r="17" spans="5:5" ht="15">
      <c r="E17" t="s">
        <v>2169</v>
      </c>
    </row>
  </sheetData>
  <mergeCells count="5">
    <mergeCell ref="C5:H5"/>
    <mergeCell ref="C6:H6"/>
    <mergeCell ref="C7:H7"/>
    <mergeCell ref="A8:I8"/>
    <mergeCell ref="B9:I9"/>
  </mergeCells>
  <printOptions horizontalCentered="1"/>
  <pageMargins left="0.31496062992125984" right="0.31496062992125984" top="0.55118110236220474" bottom="0.55118110236220474" header="0.31496062992125984" footer="0.31496062992125984"/>
  <pageSetup orientation="landscape" horizontalDpi="4294967292" r:id="rId1"/>
  <headerFooter>
    <oddFooter>Page &amp;P of &amp;N</oddFooter>
  </headerFooter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62B2B-E8E7-4A96-A295-5899B2ED3D1F}">
  <dimension ref="A1:N15"/>
  <sheetViews>
    <sheetView zoomScaleNormal="100" workbookViewId="0">
      <selection activeCell="P7" sqref="P7"/>
    </sheetView>
  </sheetViews>
  <sheetFormatPr defaultColWidth="9.140625" defaultRowHeight="12.75"/>
  <cols>
    <col min="1" max="1" width="5.85546875" style="256" bestFit="1" customWidth="1"/>
    <col min="2" max="2" width="11" style="256" bestFit="1" customWidth="1"/>
    <col min="3" max="3" width="17.42578125" style="256" customWidth="1"/>
    <col min="4" max="4" width="20.42578125" style="256" customWidth="1"/>
    <col min="5" max="5" width="46.140625" style="256" customWidth="1"/>
    <col min="6" max="6" width="5" style="256" bestFit="1" customWidth="1"/>
    <col min="7" max="7" width="6.7109375" style="256" bestFit="1" customWidth="1"/>
    <col min="8" max="8" width="12.5703125" style="256" bestFit="1" customWidth="1"/>
    <col min="9" max="9" width="16" style="256" customWidth="1"/>
    <col min="10" max="10" width="11.42578125" style="256" bestFit="1" customWidth="1"/>
    <col min="11" max="11" width="12.5703125" style="256" bestFit="1" customWidth="1"/>
    <col min="12" max="12" width="13" style="256" customWidth="1"/>
    <col min="13" max="13" width="13.140625" style="256" customWidth="1"/>
    <col min="14" max="14" width="10.85546875" style="256" bestFit="1" customWidth="1"/>
    <col min="15" max="16384" width="9.140625" style="256"/>
  </cols>
  <sheetData>
    <row r="1" spans="1:14" ht="13.5" customHeight="1">
      <c r="A1" s="253" t="s">
        <v>0</v>
      </c>
      <c r="B1" s="253" t="s">
        <v>503</v>
      </c>
      <c r="C1" s="254" t="s">
        <v>1604</v>
      </c>
      <c r="D1" s="254" t="s">
        <v>778</v>
      </c>
      <c r="E1" s="255" t="s">
        <v>67</v>
      </c>
      <c r="F1" s="255" t="s">
        <v>3</v>
      </c>
      <c r="G1" s="254" t="s">
        <v>1582</v>
      </c>
      <c r="H1" s="253" t="s">
        <v>1583</v>
      </c>
      <c r="I1" s="253" t="s">
        <v>1584</v>
      </c>
      <c r="J1" s="256" t="s">
        <v>394</v>
      </c>
      <c r="K1" s="256" t="s">
        <v>2433</v>
      </c>
      <c r="L1" s="256" t="s">
        <v>2434</v>
      </c>
      <c r="M1" s="256" t="s">
        <v>2435</v>
      </c>
      <c r="N1" s="256" t="s">
        <v>119</v>
      </c>
    </row>
    <row r="2" spans="1:14" ht="38.25">
      <c r="A2" s="304">
        <f>ROW()-1</f>
        <v>1</v>
      </c>
      <c r="B2" s="304" t="s">
        <v>522</v>
      </c>
      <c r="C2" s="260" t="s">
        <v>522</v>
      </c>
      <c r="D2" s="275" t="s">
        <v>522</v>
      </c>
      <c r="E2" s="259" t="s">
        <v>2431</v>
      </c>
      <c r="F2" s="260" t="s">
        <v>1243</v>
      </c>
      <c r="G2" s="260">
        <v>1</v>
      </c>
      <c r="H2" s="261">
        <f>93*1.33*J2</f>
        <v>10501281.000000002</v>
      </c>
      <c r="I2" s="261">
        <f>H2*G2</f>
        <v>10501281.000000002</v>
      </c>
      <c r="J2" s="262">
        <v>84900</v>
      </c>
      <c r="K2" s="262">
        <v>84900</v>
      </c>
      <c r="L2" s="262">
        <v>68800</v>
      </c>
      <c r="M2" s="262">
        <v>81630</v>
      </c>
      <c r="N2" s="262">
        <v>85420</v>
      </c>
    </row>
    <row r="3" spans="1:14">
      <c r="A3" s="304">
        <f t="shared" ref="A3:A5" si="0">ROW()-1</f>
        <v>2</v>
      </c>
      <c r="B3" s="263"/>
      <c r="C3" s="422" t="s">
        <v>76</v>
      </c>
      <c r="D3" s="422"/>
      <c r="E3" s="422"/>
      <c r="F3" s="422"/>
      <c r="G3" s="422"/>
      <c r="H3" s="422"/>
      <c r="I3" s="241">
        <f>SUM(I2:I2)</f>
        <v>10501281.000000002</v>
      </c>
      <c r="J3" s="264"/>
      <c r="K3" s="264"/>
      <c r="L3" s="264"/>
      <c r="M3" s="264"/>
    </row>
    <row r="4" spans="1:14">
      <c r="A4" s="304">
        <f t="shared" si="0"/>
        <v>3</v>
      </c>
      <c r="B4" s="263"/>
      <c r="C4" s="422" t="s">
        <v>1637</v>
      </c>
      <c r="D4" s="422"/>
      <c r="E4" s="422"/>
      <c r="F4" s="422"/>
      <c r="G4" s="422"/>
      <c r="H4" s="422"/>
      <c r="I4" s="241">
        <f>I3*18%</f>
        <v>1890230.5800000003</v>
      </c>
      <c r="K4" s="264"/>
      <c r="L4" s="264"/>
      <c r="M4" s="264"/>
    </row>
    <row r="5" spans="1:14">
      <c r="A5" s="304">
        <f t="shared" si="0"/>
        <v>4</v>
      </c>
      <c r="B5" s="263"/>
      <c r="C5" s="422" t="s">
        <v>742</v>
      </c>
      <c r="D5" s="422"/>
      <c r="E5" s="422"/>
      <c r="F5" s="422"/>
      <c r="G5" s="422"/>
      <c r="H5" s="422"/>
      <c r="I5" s="241">
        <f>SUM(I3:I4)</f>
        <v>12391511.580000002</v>
      </c>
      <c r="K5" s="264"/>
      <c r="L5" s="264"/>
      <c r="M5" s="264"/>
    </row>
    <row r="6" spans="1:14">
      <c r="A6" s="423"/>
      <c r="B6" s="424"/>
      <c r="C6" s="424"/>
      <c r="D6" s="424"/>
      <c r="E6" s="424"/>
      <c r="F6" s="424"/>
      <c r="G6" s="424"/>
      <c r="H6" s="424"/>
      <c r="I6" s="425"/>
    </row>
    <row r="7" spans="1:14" ht="140.25" customHeight="1">
      <c r="A7" s="265" t="s">
        <v>80</v>
      </c>
      <c r="B7" s="426" t="s">
        <v>1765</v>
      </c>
      <c r="C7" s="426"/>
      <c r="D7" s="426"/>
      <c r="E7" s="426"/>
      <c r="F7" s="426"/>
      <c r="G7" s="426"/>
      <c r="H7" s="426"/>
      <c r="I7" s="427"/>
      <c r="M7" s="264"/>
    </row>
    <row r="10" spans="1:14">
      <c r="E10" s="256" t="s">
        <v>2432</v>
      </c>
    </row>
    <row r="15" spans="1:14" ht="15">
      <c r="E15"/>
    </row>
  </sheetData>
  <mergeCells count="5">
    <mergeCell ref="C3:H3"/>
    <mergeCell ref="C4:H4"/>
    <mergeCell ref="C5:H5"/>
    <mergeCell ref="A6:I6"/>
    <mergeCell ref="B7:I7"/>
  </mergeCells>
  <printOptions horizontalCentered="1"/>
  <pageMargins left="0.31496062992125984" right="0.31496062992125984" top="0.55118110236220474" bottom="0.55118110236220474" header="0.31496062992125984" footer="0.31496062992125984"/>
  <pageSetup orientation="landscape" horizontalDpi="4294967292" r:id="rId1"/>
  <headerFooter>
    <oddFooter>Page &amp;P of &amp;N</oddFooter>
  </headerFooter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1CB17-18E2-41BF-A067-5E08738E099C}">
  <dimension ref="A1:M16"/>
  <sheetViews>
    <sheetView zoomScaleNormal="100" workbookViewId="0">
      <selection activeCell="E16" sqref="E16"/>
    </sheetView>
  </sheetViews>
  <sheetFormatPr defaultColWidth="9.140625" defaultRowHeight="12.75"/>
  <cols>
    <col min="1" max="1" width="5.85546875" style="256" bestFit="1" customWidth="1"/>
    <col min="2" max="2" width="11" style="256" bestFit="1" customWidth="1"/>
    <col min="3" max="3" width="17.42578125" style="256" customWidth="1"/>
    <col min="4" max="4" width="20.42578125" style="256" customWidth="1"/>
    <col min="5" max="5" width="46.140625" style="256" customWidth="1"/>
    <col min="6" max="6" width="5" style="256" bestFit="1" customWidth="1"/>
    <col min="7" max="7" width="6.7109375" style="256" bestFit="1" customWidth="1"/>
    <col min="8" max="8" width="12.5703125" style="256" bestFit="1" customWidth="1"/>
    <col min="9" max="9" width="16" style="256" customWidth="1"/>
    <col min="10" max="10" width="11.42578125" style="256" bestFit="1" customWidth="1"/>
    <col min="11" max="11" width="12.5703125" style="256" bestFit="1" customWidth="1"/>
    <col min="12" max="12" width="13" style="256" customWidth="1"/>
    <col min="13" max="13" width="13.140625" style="256" customWidth="1"/>
    <col min="14" max="16384" width="9.140625" style="256"/>
  </cols>
  <sheetData>
    <row r="1" spans="1:13" ht="13.5" customHeight="1">
      <c r="A1" s="253" t="s">
        <v>0</v>
      </c>
      <c r="B1" s="253" t="s">
        <v>503</v>
      </c>
      <c r="C1" s="254" t="s">
        <v>1604</v>
      </c>
      <c r="D1" s="254" t="s">
        <v>778</v>
      </c>
      <c r="E1" s="255" t="s">
        <v>67</v>
      </c>
      <c r="F1" s="255" t="s">
        <v>3</v>
      </c>
      <c r="G1" s="254" t="s">
        <v>1582</v>
      </c>
      <c r="H1" s="253" t="s">
        <v>1583</v>
      </c>
      <c r="I1" s="253" t="s">
        <v>1584</v>
      </c>
      <c r="J1" s="256" t="s">
        <v>394</v>
      </c>
      <c r="K1" s="256" t="s">
        <v>2104</v>
      </c>
    </row>
    <row r="2" spans="1:13" ht="38.25">
      <c r="A2" s="307">
        <f>ROW()-1</f>
        <v>1</v>
      </c>
      <c r="B2" s="307">
        <v>3000122441</v>
      </c>
      <c r="C2" s="258" t="s">
        <v>2438</v>
      </c>
      <c r="D2" s="259" t="s">
        <v>2439</v>
      </c>
      <c r="E2" s="259" t="s">
        <v>2440</v>
      </c>
      <c r="F2" s="260" t="s">
        <v>121</v>
      </c>
      <c r="G2" s="260">
        <v>1</v>
      </c>
      <c r="H2" s="261">
        <f>95*1.33*J2</f>
        <v>0</v>
      </c>
      <c r="I2" s="261">
        <f>H2*G2</f>
        <v>0</v>
      </c>
      <c r="J2" s="262"/>
      <c r="K2" s="262"/>
      <c r="L2" s="262"/>
      <c r="M2" s="262"/>
    </row>
    <row r="3" spans="1:13" ht="38.25">
      <c r="A3" s="307">
        <f t="shared" ref="A3:A6" si="0">ROW()-1</f>
        <v>2</v>
      </c>
      <c r="B3" s="307">
        <v>3000122441</v>
      </c>
      <c r="C3" s="258" t="s">
        <v>2441</v>
      </c>
      <c r="D3" s="259" t="s">
        <v>2442</v>
      </c>
      <c r="E3" s="259" t="s">
        <v>2443</v>
      </c>
      <c r="F3" s="260" t="s">
        <v>121</v>
      </c>
      <c r="G3" s="260">
        <v>1</v>
      </c>
      <c r="H3" s="261">
        <f>95*1.33*J3</f>
        <v>0</v>
      </c>
      <c r="I3" s="261">
        <f>H3*G3</f>
        <v>0</v>
      </c>
      <c r="J3" s="262"/>
      <c r="K3" s="262"/>
      <c r="L3" s="262"/>
      <c r="M3" s="262"/>
    </row>
    <row r="4" spans="1:13">
      <c r="A4" s="307">
        <f t="shared" si="0"/>
        <v>3</v>
      </c>
      <c r="B4" s="263"/>
      <c r="C4" s="422" t="s">
        <v>76</v>
      </c>
      <c r="D4" s="422"/>
      <c r="E4" s="422"/>
      <c r="F4" s="422"/>
      <c r="G4" s="422"/>
      <c r="H4" s="422"/>
      <c r="I4" s="241">
        <f>SUM(I2:I3)</f>
        <v>0</v>
      </c>
      <c r="J4" s="264"/>
      <c r="K4" s="264"/>
      <c r="L4" s="264"/>
      <c r="M4" s="264"/>
    </row>
    <row r="5" spans="1:13">
      <c r="A5" s="307">
        <f t="shared" si="0"/>
        <v>4</v>
      </c>
      <c r="B5" s="263"/>
      <c r="C5" s="422" t="s">
        <v>1637</v>
      </c>
      <c r="D5" s="422"/>
      <c r="E5" s="422"/>
      <c r="F5" s="422"/>
      <c r="G5" s="422"/>
      <c r="H5" s="422"/>
      <c r="I5" s="185">
        <f>I4*18%</f>
        <v>0</v>
      </c>
      <c r="K5" s="264"/>
      <c r="L5" s="264"/>
      <c r="M5" s="264"/>
    </row>
    <row r="6" spans="1:13">
      <c r="A6" s="307">
        <f t="shared" si="0"/>
        <v>5</v>
      </c>
      <c r="B6" s="263"/>
      <c r="C6" s="422" t="s">
        <v>742</v>
      </c>
      <c r="D6" s="422"/>
      <c r="E6" s="422"/>
      <c r="F6" s="422"/>
      <c r="G6" s="422"/>
      <c r="H6" s="422"/>
      <c r="I6" s="241">
        <f>SUM(I4:I5)</f>
        <v>0</v>
      </c>
      <c r="K6" s="264"/>
      <c r="L6" s="264"/>
      <c r="M6" s="264"/>
    </row>
    <row r="7" spans="1:13">
      <c r="A7" s="423"/>
      <c r="B7" s="424"/>
      <c r="C7" s="424"/>
      <c r="D7" s="424"/>
      <c r="E7" s="424"/>
      <c r="F7" s="424"/>
      <c r="G7" s="424"/>
      <c r="H7" s="424"/>
      <c r="I7" s="425"/>
    </row>
    <row r="8" spans="1:13" ht="140.25" customHeight="1">
      <c r="A8" s="265" t="s">
        <v>80</v>
      </c>
      <c r="B8" s="426" t="s">
        <v>1765</v>
      </c>
      <c r="C8" s="426"/>
      <c r="D8" s="426"/>
      <c r="E8" s="426"/>
      <c r="F8" s="426"/>
      <c r="G8" s="426"/>
      <c r="H8" s="426"/>
      <c r="I8" s="427"/>
      <c r="M8" s="264"/>
    </row>
    <row r="16" spans="1:13" ht="15">
      <c r="E16"/>
    </row>
  </sheetData>
  <mergeCells count="5">
    <mergeCell ref="C4:H4"/>
    <mergeCell ref="C5:H5"/>
    <mergeCell ref="C6:H6"/>
    <mergeCell ref="A7:I7"/>
    <mergeCell ref="B8:I8"/>
  </mergeCells>
  <printOptions horizontalCentered="1"/>
  <pageMargins left="0.31496062992125984" right="0.31496062992125984" top="0.55118110236220474" bottom="0.55118110236220474" header="0.31496062992125984" footer="0.31496062992125984"/>
  <pageSetup orientation="landscape" horizontalDpi="4294967292" r:id="rId1"/>
  <headerFooter>
    <oddFooter>Page &amp;P of &amp;N</oddFooter>
  </headerFooter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34177-A59B-4E13-81F6-D0F99B053129}">
  <dimension ref="A1:M17"/>
  <sheetViews>
    <sheetView zoomScaleNormal="100" workbookViewId="0">
      <selection activeCell="B3" sqref="B3"/>
    </sheetView>
  </sheetViews>
  <sheetFormatPr defaultColWidth="9.140625" defaultRowHeight="12.75"/>
  <cols>
    <col min="1" max="1" width="5.85546875" style="311" bestFit="1" customWidth="1"/>
    <col min="2" max="2" width="11" style="311" bestFit="1" customWidth="1"/>
    <col min="3" max="3" width="17.42578125" style="311" customWidth="1"/>
    <col min="4" max="4" width="20.42578125" style="311" customWidth="1"/>
    <col min="5" max="5" width="46.140625" style="311" customWidth="1"/>
    <col min="6" max="6" width="5" style="311" bestFit="1" customWidth="1"/>
    <col min="7" max="7" width="6.7109375" style="311" bestFit="1" customWidth="1"/>
    <col min="8" max="8" width="12.5703125" style="311" bestFit="1" customWidth="1"/>
    <col min="9" max="9" width="16" style="311" customWidth="1"/>
    <col min="10" max="10" width="11.42578125" style="311" bestFit="1" customWidth="1"/>
    <col min="11" max="11" width="12.5703125" style="311" bestFit="1" customWidth="1"/>
    <col min="12" max="12" width="13" style="311" customWidth="1"/>
    <col min="13" max="13" width="13.140625" style="311" customWidth="1"/>
    <col min="14" max="16384" width="9.140625" style="311"/>
  </cols>
  <sheetData>
    <row r="1" spans="1:13" ht="13.5" customHeight="1">
      <c r="A1" s="308" t="s">
        <v>0</v>
      </c>
      <c r="B1" s="308" t="s">
        <v>503</v>
      </c>
      <c r="C1" s="309" t="s">
        <v>1604</v>
      </c>
      <c r="D1" s="309" t="s">
        <v>778</v>
      </c>
      <c r="E1" s="310" t="s">
        <v>67</v>
      </c>
      <c r="F1" s="310" t="s">
        <v>3</v>
      </c>
      <c r="G1" s="309" t="s">
        <v>1582</v>
      </c>
      <c r="H1" s="308" t="s">
        <v>1583</v>
      </c>
      <c r="I1" s="308" t="s">
        <v>1584</v>
      </c>
      <c r="J1" s="311" t="s">
        <v>394</v>
      </c>
      <c r="K1" s="311" t="s">
        <v>2104</v>
      </c>
    </row>
    <row r="2" spans="1:13" ht="63.75">
      <c r="A2" s="312">
        <f>ROW()-1</f>
        <v>1</v>
      </c>
      <c r="B2" s="312">
        <v>3000122443</v>
      </c>
      <c r="C2" s="313" t="s">
        <v>2444</v>
      </c>
      <c r="D2" s="314" t="s">
        <v>2445</v>
      </c>
      <c r="E2" s="314" t="s">
        <v>2446</v>
      </c>
      <c r="F2" s="315" t="s">
        <v>121</v>
      </c>
      <c r="G2" s="315" t="s">
        <v>1273</v>
      </c>
      <c r="H2" s="316">
        <f>95*1.33*J2</f>
        <v>0</v>
      </c>
      <c r="I2" s="316">
        <f>H2*G2</f>
        <v>0</v>
      </c>
      <c r="J2" s="317"/>
      <c r="K2" s="317"/>
      <c r="L2" s="317"/>
      <c r="M2" s="317"/>
    </row>
    <row r="3" spans="1:13" ht="63.75">
      <c r="A3" s="312">
        <f t="shared" ref="A3:A7" si="0">ROW()-1</f>
        <v>2</v>
      </c>
      <c r="B3" s="312">
        <v>3000122443</v>
      </c>
      <c r="C3" s="313" t="s">
        <v>2447</v>
      </c>
      <c r="D3" s="314" t="s">
        <v>2448</v>
      </c>
      <c r="E3" s="314" t="s">
        <v>2449</v>
      </c>
      <c r="F3" s="315" t="s">
        <v>121</v>
      </c>
      <c r="G3" s="315" t="s">
        <v>1273</v>
      </c>
      <c r="H3" s="316">
        <f>95*1.33*J3</f>
        <v>0</v>
      </c>
      <c r="I3" s="316">
        <f>H3*G3</f>
        <v>0</v>
      </c>
      <c r="J3" s="317"/>
      <c r="K3" s="317"/>
      <c r="L3" s="317"/>
      <c r="M3" s="317" t="s">
        <v>2450</v>
      </c>
    </row>
    <row r="4" spans="1:13" ht="63.75">
      <c r="A4" s="312">
        <f t="shared" si="0"/>
        <v>3</v>
      </c>
      <c r="B4" s="312">
        <v>3000122443</v>
      </c>
      <c r="C4" s="313" t="s">
        <v>2451</v>
      </c>
      <c r="D4" s="314" t="s">
        <v>2452</v>
      </c>
      <c r="E4" s="314" t="s">
        <v>2453</v>
      </c>
      <c r="F4" s="315" t="s">
        <v>121</v>
      </c>
      <c r="G4" s="315" t="s">
        <v>1273</v>
      </c>
      <c r="H4" s="316"/>
      <c r="I4" s="316"/>
      <c r="J4" s="317"/>
      <c r="K4" s="317"/>
      <c r="L4" s="317"/>
      <c r="M4" s="317"/>
    </row>
    <row r="5" spans="1:13">
      <c r="A5" s="312">
        <f t="shared" si="0"/>
        <v>4</v>
      </c>
      <c r="B5" s="318"/>
      <c r="C5" s="437" t="s">
        <v>76</v>
      </c>
      <c r="D5" s="437"/>
      <c r="E5" s="437"/>
      <c r="F5" s="437"/>
      <c r="G5" s="437"/>
      <c r="H5" s="437"/>
      <c r="I5" s="241">
        <f>SUM(I2:I3)</f>
        <v>0</v>
      </c>
      <c r="J5" s="320"/>
      <c r="K5" s="320"/>
      <c r="L5" s="320"/>
      <c r="M5" s="320"/>
    </row>
    <row r="6" spans="1:13">
      <c r="A6" s="312">
        <f t="shared" si="0"/>
        <v>5</v>
      </c>
      <c r="B6" s="318"/>
      <c r="C6" s="437" t="s">
        <v>1637</v>
      </c>
      <c r="D6" s="437"/>
      <c r="E6" s="437"/>
      <c r="F6" s="437"/>
      <c r="G6" s="437"/>
      <c r="H6" s="437"/>
      <c r="I6" s="185">
        <f>I5*18%</f>
        <v>0</v>
      </c>
      <c r="K6" s="320"/>
      <c r="L6" s="320"/>
      <c r="M6" s="320"/>
    </row>
    <row r="7" spans="1:13">
      <c r="A7" s="312">
        <f t="shared" si="0"/>
        <v>6</v>
      </c>
      <c r="B7" s="318"/>
      <c r="C7" s="437" t="s">
        <v>742</v>
      </c>
      <c r="D7" s="437"/>
      <c r="E7" s="437"/>
      <c r="F7" s="437"/>
      <c r="G7" s="437"/>
      <c r="H7" s="437"/>
      <c r="I7" s="241">
        <f>SUM(I5:I6)</f>
        <v>0</v>
      </c>
      <c r="K7" s="320"/>
      <c r="L7" s="320"/>
      <c r="M7" s="320"/>
    </row>
    <row r="8" spans="1:13">
      <c r="A8" s="438"/>
      <c r="B8" s="439"/>
      <c r="C8" s="439"/>
      <c r="D8" s="439"/>
      <c r="E8" s="439"/>
      <c r="F8" s="439"/>
      <c r="G8" s="439"/>
      <c r="H8" s="439"/>
      <c r="I8" s="440"/>
    </row>
    <row r="9" spans="1:13" ht="140.25" customHeight="1">
      <c r="A9" s="321" t="s">
        <v>80</v>
      </c>
      <c r="B9" s="441" t="s">
        <v>1765</v>
      </c>
      <c r="C9" s="441"/>
      <c r="D9" s="441"/>
      <c r="E9" s="441"/>
      <c r="F9" s="441"/>
      <c r="G9" s="441"/>
      <c r="H9" s="441"/>
      <c r="I9" s="442"/>
      <c r="M9" s="320"/>
    </row>
    <row r="17" spans="5:5" ht="15">
      <c r="E17" s="322" t="s">
        <v>2169</v>
      </c>
    </row>
  </sheetData>
  <mergeCells count="5">
    <mergeCell ref="C5:H5"/>
    <mergeCell ref="C6:H6"/>
    <mergeCell ref="C7:H7"/>
    <mergeCell ref="A8:I8"/>
    <mergeCell ref="B9:I9"/>
  </mergeCells>
  <printOptions horizontalCentered="1"/>
  <pageMargins left="0.31496062992125984" right="0.31496062992125984" top="0.55118110236220474" bottom="0.55118110236220474" header="0.31496062992125984" footer="0.31496062992125984"/>
  <pageSetup orientation="landscape" horizontalDpi="4294967292" r:id="rId1"/>
  <headerFooter>
    <oddFooter>Page &amp;P of &amp;N</oddFooter>
  </headerFooter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3E05E-0077-4FC1-A666-4E3A3E7E297F}">
  <dimension ref="A1:P18"/>
  <sheetViews>
    <sheetView zoomScaleNormal="100" workbookViewId="0">
      <selection activeCell="L5" sqref="L5"/>
    </sheetView>
  </sheetViews>
  <sheetFormatPr defaultColWidth="9.140625" defaultRowHeight="12.75"/>
  <cols>
    <col min="1" max="1" width="5.85546875" style="311" bestFit="1" customWidth="1"/>
    <col min="2" max="2" width="16.140625" style="311" customWidth="1"/>
    <col min="3" max="3" width="17.42578125" style="311" customWidth="1"/>
    <col min="4" max="5" width="20.42578125" style="311" customWidth="1"/>
    <col min="6" max="6" width="46.140625" style="311" customWidth="1"/>
    <col min="7" max="7" width="5" style="311" bestFit="1" customWidth="1"/>
    <col min="8" max="8" width="6.7109375" style="311" bestFit="1" customWidth="1"/>
    <col min="9" max="9" width="12.5703125" style="311" bestFit="1" customWidth="1"/>
    <col min="10" max="10" width="16" style="311" customWidth="1"/>
    <col min="11" max="11" width="11.42578125" style="311" bestFit="1" customWidth="1"/>
    <col min="12" max="12" width="12.5703125" style="311" bestFit="1" customWidth="1"/>
    <col min="13" max="13" width="13" style="311" customWidth="1"/>
    <col min="14" max="14" width="13.140625" style="311" customWidth="1"/>
    <col min="15" max="15" width="10.140625" style="311" bestFit="1" customWidth="1"/>
    <col min="16" max="16384" width="9.140625" style="311"/>
  </cols>
  <sheetData>
    <row r="1" spans="1:16" ht="13.5" customHeight="1">
      <c r="A1" s="308" t="s">
        <v>0</v>
      </c>
      <c r="B1" s="308" t="s">
        <v>503</v>
      </c>
      <c r="C1" s="309" t="s">
        <v>2454</v>
      </c>
      <c r="D1" s="309" t="s">
        <v>2455</v>
      </c>
      <c r="E1" s="309" t="s">
        <v>2456</v>
      </c>
      <c r="F1" s="310" t="s">
        <v>67</v>
      </c>
      <c r="G1" s="310" t="s">
        <v>3</v>
      </c>
      <c r="H1" s="309" t="s">
        <v>1582</v>
      </c>
      <c r="I1" s="308" t="s">
        <v>1583</v>
      </c>
      <c r="J1" s="308" t="s">
        <v>1584</v>
      </c>
      <c r="K1" s="311" t="s">
        <v>394</v>
      </c>
      <c r="L1" s="311" t="s">
        <v>2104</v>
      </c>
      <c r="M1" s="311" t="s">
        <v>2470</v>
      </c>
      <c r="N1" s="311" t="s">
        <v>2470</v>
      </c>
      <c r="O1" s="311" t="s">
        <v>2472</v>
      </c>
      <c r="P1" s="311" t="s">
        <v>2392</v>
      </c>
    </row>
    <row r="2" spans="1:16" ht="102">
      <c r="A2" s="319">
        <f>ROW()-1</f>
        <v>1</v>
      </c>
      <c r="B2" s="319" t="s">
        <v>2457</v>
      </c>
      <c r="C2" s="313" t="s">
        <v>2458</v>
      </c>
      <c r="D2" s="314"/>
      <c r="E2" s="314"/>
      <c r="F2" s="314" t="s">
        <v>2459</v>
      </c>
      <c r="G2" s="315" t="s">
        <v>1182</v>
      </c>
      <c r="H2" s="315" t="s">
        <v>2460</v>
      </c>
      <c r="I2" s="316">
        <f>95*1.33*K2</f>
        <v>0</v>
      </c>
      <c r="J2" s="316">
        <f>I2*H2</f>
        <v>0</v>
      </c>
      <c r="K2" s="317"/>
      <c r="L2" s="317"/>
      <c r="M2" s="317"/>
      <c r="N2" s="317"/>
    </row>
    <row r="3" spans="1:16" ht="102">
      <c r="A3" s="319">
        <f>ROW()-1</f>
        <v>2</v>
      </c>
      <c r="B3" s="319" t="s">
        <v>2457</v>
      </c>
      <c r="C3" s="313" t="s">
        <v>2458</v>
      </c>
      <c r="D3" s="314"/>
      <c r="E3" s="314"/>
      <c r="F3" s="314" t="s">
        <v>2461</v>
      </c>
      <c r="G3" s="315" t="s">
        <v>1182</v>
      </c>
      <c r="H3" s="315" t="s">
        <v>1383</v>
      </c>
      <c r="I3" s="316"/>
      <c r="J3" s="316"/>
      <c r="K3" s="317"/>
      <c r="L3" s="317"/>
      <c r="M3" s="317"/>
      <c r="N3" s="317"/>
    </row>
    <row r="4" spans="1:16" ht="127.5">
      <c r="A4" s="319">
        <f t="shared" ref="A4:A8" si="0">ROW()-1</f>
        <v>3</v>
      </c>
      <c r="B4" s="319" t="s">
        <v>2457</v>
      </c>
      <c r="C4" s="313" t="s">
        <v>2462</v>
      </c>
      <c r="D4" s="314" t="s">
        <v>2380</v>
      </c>
      <c r="E4" s="314" t="s">
        <v>2463</v>
      </c>
      <c r="F4" s="314" t="s">
        <v>2464</v>
      </c>
      <c r="G4" s="315" t="s">
        <v>121</v>
      </c>
      <c r="H4" s="315" t="s">
        <v>1571</v>
      </c>
      <c r="I4" s="316">
        <f>95*1.33*K4</f>
        <v>0</v>
      </c>
      <c r="J4" s="316">
        <f>I4*H4</f>
        <v>0</v>
      </c>
      <c r="K4" s="317"/>
      <c r="L4" s="317"/>
      <c r="M4" s="317">
        <v>5310</v>
      </c>
      <c r="N4" s="317" t="s">
        <v>2471</v>
      </c>
      <c r="O4" s="320">
        <v>3900</v>
      </c>
    </row>
    <row r="5" spans="1:16" ht="140.25">
      <c r="A5" s="319">
        <f t="shared" si="0"/>
        <v>4</v>
      </c>
      <c r="B5" s="319" t="s">
        <v>2457</v>
      </c>
      <c r="C5" s="313" t="s">
        <v>2462</v>
      </c>
      <c r="D5" s="314" t="s">
        <v>2465</v>
      </c>
      <c r="E5" s="314" t="s">
        <v>2466</v>
      </c>
      <c r="F5" s="314" t="s">
        <v>2467</v>
      </c>
      <c r="G5" s="315" t="s">
        <v>121</v>
      </c>
      <c r="H5" s="315" t="s">
        <v>1302</v>
      </c>
      <c r="I5" s="316"/>
      <c r="J5" s="316"/>
      <c r="K5" s="317"/>
      <c r="L5" s="317"/>
      <c r="M5" s="317">
        <v>13820</v>
      </c>
      <c r="N5" s="317" t="s">
        <v>2471</v>
      </c>
      <c r="O5" s="320">
        <v>6200</v>
      </c>
    </row>
    <row r="6" spans="1:16">
      <c r="A6" s="319">
        <f t="shared" si="0"/>
        <v>5</v>
      </c>
      <c r="B6" s="319"/>
      <c r="C6" s="437" t="s">
        <v>76</v>
      </c>
      <c r="D6" s="437"/>
      <c r="E6" s="437"/>
      <c r="F6" s="437"/>
      <c r="G6" s="437"/>
      <c r="H6" s="437"/>
      <c r="I6" s="437"/>
      <c r="J6" s="241">
        <f>SUM(J2:J4)</f>
        <v>0</v>
      </c>
      <c r="K6" s="320"/>
      <c r="L6" s="320"/>
      <c r="M6" s="320"/>
      <c r="N6" s="320"/>
    </row>
    <row r="7" spans="1:16">
      <c r="A7" s="319">
        <f t="shared" si="0"/>
        <v>6</v>
      </c>
      <c r="B7" s="318"/>
      <c r="C7" s="437" t="s">
        <v>1637</v>
      </c>
      <c r="D7" s="437"/>
      <c r="E7" s="437"/>
      <c r="F7" s="437"/>
      <c r="G7" s="437"/>
      <c r="H7" s="437"/>
      <c r="I7" s="437"/>
      <c r="J7" s="185">
        <f>J6*18%</f>
        <v>0</v>
      </c>
      <c r="L7" s="320"/>
      <c r="M7" s="320"/>
      <c r="N7" s="320"/>
    </row>
    <row r="8" spans="1:16">
      <c r="A8" s="319">
        <f t="shared" si="0"/>
        <v>7</v>
      </c>
      <c r="B8" s="318"/>
      <c r="C8" s="437" t="s">
        <v>742</v>
      </c>
      <c r="D8" s="437"/>
      <c r="E8" s="437"/>
      <c r="F8" s="437"/>
      <c r="G8" s="437"/>
      <c r="H8" s="437"/>
      <c r="I8" s="437"/>
      <c r="J8" s="241">
        <f>SUM(J6:J7)</f>
        <v>0</v>
      </c>
      <c r="L8" s="320"/>
      <c r="M8" s="320"/>
      <c r="N8" s="320"/>
    </row>
    <row r="9" spans="1:16">
      <c r="A9" s="438"/>
      <c r="B9" s="439"/>
      <c r="C9" s="439"/>
      <c r="D9" s="439"/>
      <c r="E9" s="439"/>
      <c r="F9" s="439"/>
      <c r="G9" s="439"/>
      <c r="H9" s="439"/>
      <c r="I9" s="439"/>
      <c r="J9" s="440"/>
    </row>
    <row r="10" spans="1:16" ht="140.25" customHeight="1">
      <c r="A10" s="321" t="s">
        <v>80</v>
      </c>
      <c r="B10" s="441" t="s">
        <v>1765</v>
      </c>
      <c r="C10" s="441"/>
      <c r="D10" s="441"/>
      <c r="E10" s="441"/>
      <c r="F10" s="441"/>
      <c r="G10" s="441"/>
      <c r="H10" s="441"/>
      <c r="I10" s="441"/>
      <c r="J10" s="442"/>
      <c r="N10" s="320"/>
    </row>
    <row r="18" spans="6:6" ht="15">
      <c r="F18" s="322" t="s">
        <v>2169</v>
      </c>
    </row>
  </sheetData>
  <mergeCells count="5">
    <mergeCell ref="C6:I6"/>
    <mergeCell ref="C7:I7"/>
    <mergeCell ref="C8:I8"/>
    <mergeCell ref="A9:J9"/>
    <mergeCell ref="B10:J10"/>
  </mergeCells>
  <printOptions horizontalCentered="1"/>
  <pageMargins left="0.31496062992125984" right="0.31496062992125984" top="0.55118110236220474" bottom="0.55118110236220474" header="0.31496062992125984" footer="0.31496062992125984"/>
  <pageSetup orientation="landscape" horizontalDpi="4294967292" r:id="rId1"/>
  <headerFooter>
    <oddFooter>Page &amp;P of &amp;N</oddFooter>
  </headerFooter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4025E-9859-4623-99E2-17D5FE90F085}">
  <dimension ref="A1:M15"/>
  <sheetViews>
    <sheetView zoomScaleNormal="100" workbookViewId="0">
      <selection activeCell="H1" sqref="H1:K1"/>
    </sheetView>
  </sheetViews>
  <sheetFormatPr defaultColWidth="9.140625" defaultRowHeight="12.75"/>
  <cols>
    <col min="1" max="1" width="5.85546875" style="311" bestFit="1" customWidth="1"/>
    <col min="2" max="2" width="11" style="311" bestFit="1" customWidth="1"/>
    <col min="3" max="3" width="17.42578125" style="311" customWidth="1"/>
    <col min="4" max="4" width="20.42578125" style="311" customWidth="1"/>
    <col min="5" max="5" width="46.140625" style="311" customWidth="1"/>
    <col min="6" max="6" width="5" style="311" bestFit="1" customWidth="1"/>
    <col min="7" max="7" width="6.7109375" style="311" bestFit="1" customWidth="1"/>
    <col min="8" max="8" width="12.5703125" style="311" bestFit="1" customWidth="1"/>
    <col min="9" max="9" width="16" style="311" customWidth="1"/>
    <col min="10" max="10" width="11.42578125" style="311" bestFit="1" customWidth="1"/>
    <col min="11" max="11" width="12.5703125" style="311" bestFit="1" customWidth="1"/>
    <col min="12" max="12" width="13" style="311" customWidth="1"/>
    <col min="13" max="13" width="13.140625" style="311" customWidth="1"/>
    <col min="14" max="16384" width="9.140625" style="311"/>
  </cols>
  <sheetData>
    <row r="1" spans="1:13" ht="13.5" customHeight="1">
      <c r="A1" s="308" t="s">
        <v>0</v>
      </c>
      <c r="B1" s="308" t="s">
        <v>503</v>
      </c>
      <c r="C1" s="309" t="s">
        <v>1604</v>
      </c>
      <c r="D1" s="309" t="s">
        <v>778</v>
      </c>
      <c r="E1" s="310" t="s">
        <v>67</v>
      </c>
      <c r="F1" s="310" t="s">
        <v>3</v>
      </c>
      <c r="G1" s="309" t="s">
        <v>1582</v>
      </c>
      <c r="H1" s="308" t="s">
        <v>1583</v>
      </c>
      <c r="I1" s="308" t="s">
        <v>1584</v>
      </c>
      <c r="J1" s="311" t="s">
        <v>394</v>
      </c>
      <c r="K1" s="311" t="s">
        <v>119</v>
      </c>
    </row>
    <row r="2" spans="1:13" ht="89.25">
      <c r="A2" s="323">
        <f>ROW()-1</f>
        <v>1</v>
      </c>
      <c r="B2" s="323" t="s">
        <v>2468</v>
      </c>
      <c r="C2" s="313"/>
      <c r="D2" s="313"/>
      <c r="E2" s="314" t="s">
        <v>2469</v>
      </c>
      <c r="F2" s="315" t="s">
        <v>1182</v>
      </c>
      <c r="G2" s="315">
        <v>12</v>
      </c>
      <c r="H2" s="316"/>
      <c r="I2" s="316">
        <f>H2*G2</f>
        <v>0</v>
      </c>
      <c r="J2" s="317">
        <v>50</v>
      </c>
      <c r="K2" s="317">
        <v>7</v>
      </c>
      <c r="L2" s="317"/>
      <c r="M2" s="317"/>
    </row>
    <row r="3" spans="1:13">
      <c r="A3" s="323">
        <f t="shared" ref="A3:A5" si="0">ROW()-1</f>
        <v>2</v>
      </c>
      <c r="B3" s="318"/>
      <c r="C3" s="437" t="s">
        <v>76</v>
      </c>
      <c r="D3" s="437"/>
      <c r="E3" s="437"/>
      <c r="F3" s="437"/>
      <c r="G3" s="437"/>
      <c r="H3" s="437"/>
      <c r="I3" s="241">
        <f>SUM(I2:I2)</f>
        <v>0</v>
      </c>
      <c r="J3" s="320"/>
      <c r="K3" s="320"/>
      <c r="L3" s="320"/>
      <c r="M3" s="320"/>
    </row>
    <row r="4" spans="1:13">
      <c r="A4" s="323">
        <f t="shared" si="0"/>
        <v>3</v>
      </c>
      <c r="B4" s="318"/>
      <c r="C4" s="437" t="s">
        <v>1637</v>
      </c>
      <c r="D4" s="437"/>
      <c r="E4" s="437"/>
      <c r="F4" s="437"/>
      <c r="G4" s="437"/>
      <c r="H4" s="437"/>
      <c r="I4" s="241">
        <f>I3*18%</f>
        <v>0</v>
      </c>
      <c r="K4" s="320"/>
      <c r="L4" s="320"/>
      <c r="M4" s="320"/>
    </row>
    <row r="5" spans="1:13">
      <c r="A5" s="323">
        <f t="shared" si="0"/>
        <v>4</v>
      </c>
      <c r="B5" s="318"/>
      <c r="C5" s="437" t="s">
        <v>742</v>
      </c>
      <c r="D5" s="437"/>
      <c r="E5" s="437"/>
      <c r="F5" s="437"/>
      <c r="G5" s="437"/>
      <c r="H5" s="437"/>
      <c r="I5" s="241">
        <f>SUM(I3:I4)</f>
        <v>0</v>
      </c>
      <c r="K5" s="320"/>
      <c r="L5" s="320"/>
      <c r="M5" s="320"/>
    </row>
    <row r="6" spans="1:13">
      <c r="A6" s="438"/>
      <c r="B6" s="439"/>
      <c r="C6" s="439"/>
      <c r="D6" s="439"/>
      <c r="E6" s="439"/>
      <c r="F6" s="439"/>
      <c r="G6" s="439"/>
      <c r="H6" s="439"/>
      <c r="I6" s="440"/>
    </row>
    <row r="7" spans="1:13" ht="140.25" customHeight="1">
      <c r="A7" s="321" t="s">
        <v>80</v>
      </c>
      <c r="B7" s="441" t="s">
        <v>1765</v>
      </c>
      <c r="C7" s="441"/>
      <c r="D7" s="441"/>
      <c r="E7" s="441"/>
      <c r="F7" s="441"/>
      <c r="G7" s="441"/>
      <c r="H7" s="441"/>
      <c r="I7" s="442"/>
      <c r="M7" s="320"/>
    </row>
    <row r="15" spans="1:13" ht="15">
      <c r="E15" s="322"/>
    </row>
  </sheetData>
  <mergeCells count="5">
    <mergeCell ref="C3:H3"/>
    <mergeCell ref="C4:H4"/>
    <mergeCell ref="C5:H5"/>
    <mergeCell ref="A6:I6"/>
    <mergeCell ref="B7:I7"/>
  </mergeCells>
  <printOptions horizontalCentered="1"/>
  <pageMargins left="0.31496062992125984" right="0.31496062992125984" top="0.55118110236220474" bottom="0.55118110236220474" header="0.31496062992125984" footer="0.31496062992125984"/>
  <pageSetup orientation="landscape" horizontalDpi="4294967292" r:id="rId1"/>
  <headerFooter>
    <oddFooter>Page &amp;P of &amp;N</oddFooter>
  </headerFooter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0288A-F1FA-4790-919A-FBD100624C73}">
  <dimension ref="A1:D49"/>
  <sheetViews>
    <sheetView zoomScaleNormal="100" workbookViewId="0">
      <selection activeCell="K4" sqref="K4"/>
    </sheetView>
  </sheetViews>
  <sheetFormatPr defaultColWidth="9.140625" defaultRowHeight="12.75"/>
  <cols>
    <col min="1" max="2" width="9.140625" style="311"/>
    <col min="3" max="3" width="53.140625" style="311" customWidth="1"/>
    <col min="4" max="4" width="12.28515625" style="311" bestFit="1" customWidth="1"/>
    <col min="5" max="16384" width="9.140625" style="311"/>
  </cols>
  <sheetData>
    <row r="1" spans="1:4" ht="15">
      <c r="A1" s="324" t="s">
        <v>2474</v>
      </c>
      <c r="B1" s="324" t="s">
        <v>2475</v>
      </c>
      <c r="C1" s="324" t="s">
        <v>2476</v>
      </c>
      <c r="D1" s="324" t="s">
        <v>2477</v>
      </c>
    </row>
    <row r="2" spans="1:4" ht="135">
      <c r="A2" s="56">
        <v>1</v>
      </c>
      <c r="B2" s="325" t="s">
        <v>2478</v>
      </c>
      <c r="C2" s="326" t="s">
        <v>2526</v>
      </c>
      <c r="D2" s="56">
        <v>10</v>
      </c>
    </row>
    <row r="3" spans="1:4" ht="135">
      <c r="A3" s="56">
        <v>2</v>
      </c>
      <c r="B3" s="325" t="s">
        <v>2479</v>
      </c>
      <c r="C3" s="326" t="s">
        <v>2527</v>
      </c>
      <c r="D3" s="56">
        <v>10</v>
      </c>
    </row>
    <row r="4" spans="1:4" ht="135">
      <c r="A4" s="56">
        <v>3</v>
      </c>
      <c r="B4" s="325" t="s">
        <v>2480</v>
      </c>
      <c r="C4" s="326" t="s">
        <v>2528</v>
      </c>
      <c r="D4" s="56">
        <v>10</v>
      </c>
    </row>
    <row r="5" spans="1:4" ht="120">
      <c r="A5" s="56">
        <v>4</v>
      </c>
      <c r="B5" s="325" t="s">
        <v>2481</v>
      </c>
      <c r="C5" s="326" t="s">
        <v>2529</v>
      </c>
      <c r="D5" s="56">
        <v>20</v>
      </c>
    </row>
    <row r="6" spans="1:4" ht="135">
      <c r="A6" s="56">
        <v>5</v>
      </c>
      <c r="B6" s="325" t="s">
        <v>2482</v>
      </c>
      <c r="C6" s="326" t="s">
        <v>2530</v>
      </c>
      <c r="D6" s="56">
        <v>8</v>
      </c>
    </row>
    <row r="7" spans="1:4" ht="90">
      <c r="A7" s="56">
        <v>6</v>
      </c>
      <c r="B7" s="326" t="s">
        <v>2483</v>
      </c>
      <c r="C7" s="326" t="s">
        <v>2531</v>
      </c>
      <c r="D7" s="56">
        <v>2</v>
      </c>
    </row>
    <row r="8" spans="1:4" ht="90">
      <c r="A8" s="56">
        <v>7</v>
      </c>
      <c r="B8" s="327" t="s">
        <v>2484</v>
      </c>
      <c r="C8" s="326" t="s">
        <v>2532</v>
      </c>
      <c r="D8" s="56">
        <v>2</v>
      </c>
    </row>
    <row r="9" spans="1:4" ht="90">
      <c r="A9" s="56">
        <v>8</v>
      </c>
      <c r="B9" s="327" t="s">
        <v>2485</v>
      </c>
      <c r="C9" s="326" t="s">
        <v>2533</v>
      </c>
      <c r="D9" s="56">
        <v>2</v>
      </c>
    </row>
    <row r="10" spans="1:4" ht="90">
      <c r="A10" s="56">
        <v>9</v>
      </c>
      <c r="B10" s="327" t="s">
        <v>2486</v>
      </c>
      <c r="C10" s="326" t="s">
        <v>2534</v>
      </c>
      <c r="D10" s="56">
        <v>2</v>
      </c>
    </row>
    <row r="11" spans="1:4" ht="90">
      <c r="A11" s="56">
        <v>10</v>
      </c>
      <c r="B11" s="327" t="s">
        <v>2487</v>
      </c>
      <c r="C11" s="326" t="s">
        <v>2535</v>
      </c>
      <c r="D11" s="56">
        <v>2</v>
      </c>
    </row>
    <row r="12" spans="1:4" ht="75">
      <c r="A12" s="56">
        <v>11</v>
      </c>
      <c r="B12" s="327" t="s">
        <v>2488</v>
      </c>
      <c r="C12" s="326" t="s">
        <v>2536</v>
      </c>
      <c r="D12" s="56">
        <v>2</v>
      </c>
    </row>
    <row r="13" spans="1:4" ht="90">
      <c r="A13" s="56">
        <v>12</v>
      </c>
      <c r="B13" s="327" t="s">
        <v>2489</v>
      </c>
      <c r="C13" s="326" t="s">
        <v>2537</v>
      </c>
      <c r="D13" s="56">
        <v>2</v>
      </c>
    </row>
    <row r="14" spans="1:4" ht="120">
      <c r="A14" s="56">
        <v>13</v>
      </c>
      <c r="B14" s="328" t="s">
        <v>2490</v>
      </c>
      <c r="C14" s="326" t="s">
        <v>2538</v>
      </c>
      <c r="D14" s="56">
        <v>4</v>
      </c>
    </row>
    <row r="15" spans="1:4" ht="90">
      <c r="A15" s="56">
        <v>14</v>
      </c>
      <c r="B15" s="328" t="s">
        <v>2491</v>
      </c>
      <c r="C15" s="326" t="s">
        <v>2539</v>
      </c>
      <c r="D15" s="56">
        <v>4</v>
      </c>
    </row>
    <row r="16" spans="1:4" ht="75">
      <c r="A16" s="56">
        <v>15</v>
      </c>
      <c r="B16" s="327" t="s">
        <v>2492</v>
      </c>
      <c r="C16" s="326" t="s">
        <v>2540</v>
      </c>
      <c r="D16" s="56">
        <v>6</v>
      </c>
    </row>
    <row r="17" spans="1:4" ht="105">
      <c r="A17" s="56">
        <v>16</v>
      </c>
      <c r="B17" s="327" t="s">
        <v>2493</v>
      </c>
      <c r="C17" s="326" t="s">
        <v>2541</v>
      </c>
      <c r="D17" s="56">
        <v>4</v>
      </c>
    </row>
    <row r="18" spans="1:4" ht="105">
      <c r="A18" s="56">
        <v>17</v>
      </c>
      <c r="B18" s="327" t="s">
        <v>2494</v>
      </c>
      <c r="C18" s="326" t="s">
        <v>2542</v>
      </c>
      <c r="D18" s="56">
        <v>4</v>
      </c>
    </row>
    <row r="19" spans="1:4" ht="135">
      <c r="A19" s="56">
        <v>18</v>
      </c>
      <c r="B19" s="327" t="s">
        <v>2495</v>
      </c>
      <c r="C19" s="326" t="s">
        <v>2543</v>
      </c>
      <c r="D19" s="56">
        <v>6</v>
      </c>
    </row>
    <row r="20" spans="1:4" ht="135">
      <c r="A20" s="56">
        <v>20</v>
      </c>
      <c r="B20" s="328" t="s">
        <v>2496</v>
      </c>
      <c r="C20" s="326" t="s">
        <v>2544</v>
      </c>
      <c r="D20" s="56">
        <v>25</v>
      </c>
    </row>
    <row r="21" spans="1:4" ht="150">
      <c r="A21" s="56">
        <v>21</v>
      </c>
      <c r="B21" s="328" t="s">
        <v>2497</v>
      </c>
      <c r="C21" s="326" t="s">
        <v>2545</v>
      </c>
      <c r="D21" s="56">
        <v>25</v>
      </c>
    </row>
    <row r="22" spans="1:4" ht="150">
      <c r="A22" s="56">
        <v>22</v>
      </c>
      <c r="B22" s="327" t="s">
        <v>2498</v>
      </c>
      <c r="C22" s="326" t="s">
        <v>2546</v>
      </c>
      <c r="D22" s="56">
        <v>10</v>
      </c>
    </row>
    <row r="23" spans="1:4" ht="135">
      <c r="A23" s="56">
        <v>23</v>
      </c>
      <c r="B23" s="329" t="s">
        <v>2499</v>
      </c>
      <c r="C23" s="326" t="s">
        <v>2547</v>
      </c>
      <c r="D23" s="330">
        <v>1</v>
      </c>
    </row>
    <row r="24" spans="1:4" ht="135">
      <c r="A24" s="56">
        <v>24</v>
      </c>
      <c r="B24" s="329" t="s">
        <v>2500</v>
      </c>
      <c r="C24" s="326" t="s">
        <v>2548</v>
      </c>
      <c r="D24" s="330">
        <v>1</v>
      </c>
    </row>
    <row r="25" spans="1:4" ht="120">
      <c r="A25" s="56">
        <v>25</v>
      </c>
      <c r="B25" s="329" t="s">
        <v>2501</v>
      </c>
      <c r="C25" s="326" t="s">
        <v>2549</v>
      </c>
      <c r="D25" s="330">
        <v>1</v>
      </c>
    </row>
    <row r="26" spans="1:4" ht="120">
      <c r="A26" s="56">
        <v>26</v>
      </c>
      <c r="B26" s="329" t="s">
        <v>2502</v>
      </c>
      <c r="C26" s="326" t="s">
        <v>2550</v>
      </c>
      <c r="D26" s="330">
        <v>1</v>
      </c>
    </row>
    <row r="27" spans="1:4" ht="135">
      <c r="A27" s="56">
        <v>27</v>
      </c>
      <c r="B27" s="329" t="s">
        <v>2503</v>
      </c>
      <c r="C27" s="326" t="s">
        <v>2551</v>
      </c>
      <c r="D27" s="330">
        <v>1</v>
      </c>
    </row>
    <row r="28" spans="1:4" ht="135">
      <c r="A28" s="56">
        <v>28</v>
      </c>
      <c r="B28" s="329" t="s">
        <v>2504</v>
      </c>
      <c r="C28" s="326" t="s">
        <v>2552</v>
      </c>
      <c r="D28" s="330">
        <v>1</v>
      </c>
    </row>
    <row r="29" spans="1:4" ht="135">
      <c r="A29" s="56">
        <v>29</v>
      </c>
      <c r="B29" s="329" t="s">
        <v>2505</v>
      </c>
      <c r="C29" s="326" t="s">
        <v>2553</v>
      </c>
      <c r="D29" s="330">
        <v>1</v>
      </c>
    </row>
    <row r="30" spans="1:4" ht="135">
      <c r="A30" s="56">
        <v>30</v>
      </c>
      <c r="B30" s="329" t="s">
        <v>2506</v>
      </c>
      <c r="C30" s="326" t="s">
        <v>2554</v>
      </c>
      <c r="D30" s="330">
        <v>1</v>
      </c>
    </row>
    <row r="31" spans="1:4" ht="135">
      <c r="A31" s="56">
        <v>31</v>
      </c>
      <c r="B31" s="329" t="s">
        <v>2507</v>
      </c>
      <c r="C31" s="326" t="s">
        <v>2555</v>
      </c>
      <c r="D31" s="330">
        <v>1</v>
      </c>
    </row>
    <row r="32" spans="1:4" ht="150">
      <c r="A32" s="56">
        <v>32</v>
      </c>
      <c r="B32" s="329" t="s">
        <v>2508</v>
      </c>
      <c r="C32" s="326" t="s">
        <v>2556</v>
      </c>
      <c r="D32" s="330">
        <v>150</v>
      </c>
    </row>
    <row r="33" spans="1:4" ht="135">
      <c r="A33" s="56">
        <v>34</v>
      </c>
      <c r="B33" s="331" t="s">
        <v>2509</v>
      </c>
      <c r="C33" s="326" t="s">
        <v>2557</v>
      </c>
      <c r="D33" s="56">
        <v>28</v>
      </c>
    </row>
    <row r="34" spans="1:4" ht="120">
      <c r="A34" s="56">
        <v>35</v>
      </c>
      <c r="B34" s="332" t="s">
        <v>2510</v>
      </c>
      <c r="C34" s="326" t="s">
        <v>2558</v>
      </c>
      <c r="D34" s="56">
        <v>56</v>
      </c>
    </row>
    <row r="35" spans="1:4" ht="165">
      <c r="A35" s="56">
        <v>36</v>
      </c>
      <c r="B35" s="331" t="s">
        <v>2511</v>
      </c>
      <c r="C35" s="326" t="s">
        <v>2559</v>
      </c>
      <c r="D35" s="56">
        <v>2</v>
      </c>
    </row>
    <row r="36" spans="1:4" ht="150">
      <c r="A36" s="56">
        <v>37</v>
      </c>
      <c r="B36" s="331" t="s">
        <v>2512</v>
      </c>
      <c r="C36" s="326" t="s">
        <v>2560</v>
      </c>
      <c r="D36" s="56">
        <v>2</v>
      </c>
    </row>
    <row r="37" spans="1:4" ht="135">
      <c r="A37" s="56">
        <v>38</v>
      </c>
      <c r="B37" s="331" t="s">
        <v>2513</v>
      </c>
      <c r="C37" s="326" t="s">
        <v>2561</v>
      </c>
      <c r="D37" s="56">
        <v>2</v>
      </c>
    </row>
    <row r="38" spans="1:4" ht="150">
      <c r="A38" s="56">
        <v>39</v>
      </c>
      <c r="B38" s="331" t="s">
        <v>2514</v>
      </c>
      <c r="C38" s="326" t="s">
        <v>2562</v>
      </c>
      <c r="D38" s="56">
        <v>2</v>
      </c>
    </row>
    <row r="39" spans="1:4" ht="135">
      <c r="A39" s="56">
        <v>40</v>
      </c>
      <c r="B39" s="331" t="s">
        <v>2515</v>
      </c>
      <c r="C39" s="326" t="s">
        <v>2563</v>
      </c>
      <c r="D39" s="56">
        <v>2</v>
      </c>
    </row>
    <row r="40" spans="1:4" ht="135">
      <c r="A40" s="56">
        <v>41</v>
      </c>
      <c r="B40" s="331" t="s">
        <v>2516</v>
      </c>
      <c r="C40" s="326" t="s">
        <v>2564</v>
      </c>
      <c r="D40" s="56">
        <v>2</v>
      </c>
    </row>
    <row r="41" spans="1:4" ht="165">
      <c r="A41" s="56">
        <v>42</v>
      </c>
      <c r="B41" s="331" t="s">
        <v>2517</v>
      </c>
      <c r="C41" s="326" t="s">
        <v>2565</v>
      </c>
      <c r="D41" s="56">
        <v>2</v>
      </c>
    </row>
    <row r="42" spans="1:4" ht="150">
      <c r="A42" s="56">
        <v>43</v>
      </c>
      <c r="B42" s="331" t="s">
        <v>2518</v>
      </c>
      <c r="C42" s="326" t="s">
        <v>2566</v>
      </c>
      <c r="D42" s="56">
        <v>2</v>
      </c>
    </row>
    <row r="43" spans="1:4" ht="135">
      <c r="A43" s="56">
        <v>44</v>
      </c>
      <c r="B43" s="331" t="s">
        <v>2519</v>
      </c>
      <c r="C43" s="326" t="s">
        <v>2567</v>
      </c>
      <c r="D43" s="56">
        <v>2</v>
      </c>
    </row>
    <row r="44" spans="1:4" ht="150">
      <c r="A44" s="56">
        <v>45</v>
      </c>
      <c r="B44" s="331" t="s">
        <v>2520</v>
      </c>
      <c r="C44" s="326" t="s">
        <v>2568</v>
      </c>
      <c r="D44" s="56">
        <v>2</v>
      </c>
    </row>
    <row r="45" spans="1:4" ht="165">
      <c r="A45" s="56">
        <v>46</v>
      </c>
      <c r="B45" s="331" t="s">
        <v>2521</v>
      </c>
      <c r="C45" s="326" t="s">
        <v>2569</v>
      </c>
      <c r="D45" s="56">
        <v>2</v>
      </c>
    </row>
    <row r="46" spans="1:4" ht="150">
      <c r="A46" s="56">
        <v>47</v>
      </c>
      <c r="B46" s="331" t="s">
        <v>2522</v>
      </c>
      <c r="C46" s="326" t="s">
        <v>2570</v>
      </c>
      <c r="D46" s="56">
        <v>2</v>
      </c>
    </row>
    <row r="47" spans="1:4" ht="150">
      <c r="A47" s="56">
        <v>48</v>
      </c>
      <c r="B47" s="331" t="s">
        <v>2523</v>
      </c>
      <c r="C47" s="326" t="s">
        <v>2571</v>
      </c>
      <c r="D47" s="56">
        <v>2</v>
      </c>
    </row>
    <row r="48" spans="1:4" ht="165">
      <c r="A48" s="56">
        <v>49</v>
      </c>
      <c r="B48" s="331" t="s">
        <v>2524</v>
      </c>
      <c r="C48" s="326" t="s">
        <v>2572</v>
      </c>
      <c r="D48" s="56">
        <v>2</v>
      </c>
    </row>
    <row r="49" spans="1:4" ht="135">
      <c r="A49" s="56">
        <v>50</v>
      </c>
      <c r="B49" s="331" t="s">
        <v>2525</v>
      </c>
      <c r="C49" s="326" t="s">
        <v>2573</v>
      </c>
      <c r="D49" s="56">
        <v>10</v>
      </c>
    </row>
  </sheetData>
  <conditionalFormatting sqref="B5:B6">
    <cfRule type="duplicateValues" dxfId="8" priority="7"/>
  </conditionalFormatting>
  <conditionalFormatting sqref="B2:B4">
    <cfRule type="duplicateValues" dxfId="7" priority="8"/>
  </conditionalFormatting>
  <conditionalFormatting sqref="B2:B6">
    <cfRule type="duplicateValues" dxfId="6" priority="6"/>
  </conditionalFormatting>
  <conditionalFormatting sqref="B20:B21">
    <cfRule type="duplicateValues" dxfId="5" priority="4"/>
  </conditionalFormatting>
  <conditionalFormatting sqref="B20:B21">
    <cfRule type="duplicateValues" dxfId="4" priority="5"/>
  </conditionalFormatting>
  <conditionalFormatting sqref="B20:B21">
    <cfRule type="duplicateValues" dxfId="3" priority="3"/>
  </conditionalFormatting>
  <conditionalFormatting sqref="B14:B15">
    <cfRule type="duplicateValues" dxfId="2" priority="9"/>
  </conditionalFormatting>
  <conditionalFormatting sqref="B34">
    <cfRule type="duplicateValues" dxfId="1" priority="2"/>
  </conditionalFormatting>
  <conditionalFormatting sqref="B34">
    <cfRule type="duplicateValues" dxfId="0" priority="1"/>
  </conditionalFormatting>
  <printOptions horizontalCentered="1"/>
  <pageMargins left="0.31496062992125984" right="0.31496062992125984" top="0.55118110236220474" bottom="0.55118110236220474" header="0.31496062992125984" footer="0.31496062992125984"/>
  <pageSetup orientation="landscape" horizontalDpi="4294967292" r:id="rId1"/>
  <headerFooter>
    <oddFooter>Page &amp;P of &amp;N</oddFooter>
  </headerFooter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5748D-99B6-4213-AF75-8F44118750B2}">
  <dimension ref="A1:F15"/>
  <sheetViews>
    <sheetView zoomScaleNormal="100" workbookViewId="0">
      <selection activeCell="K24" sqref="K24"/>
    </sheetView>
  </sheetViews>
  <sheetFormatPr defaultColWidth="9.140625" defaultRowHeight="12.75"/>
  <cols>
    <col min="1" max="1" width="6.42578125" style="311" bestFit="1" customWidth="1"/>
    <col min="2" max="2" width="19.42578125" style="311" bestFit="1" customWidth="1"/>
    <col min="3" max="3" width="12.85546875" style="311" bestFit="1" customWidth="1"/>
    <col min="4" max="4" width="20.140625" style="311" bestFit="1" customWidth="1"/>
    <col min="5" max="5" width="16" style="311" bestFit="1" customWidth="1"/>
    <col min="6" max="16384" width="9.140625" style="311"/>
  </cols>
  <sheetData>
    <row r="1" spans="1:6">
      <c r="A1" s="309" t="s">
        <v>2574</v>
      </c>
      <c r="B1" s="309" t="s">
        <v>2147</v>
      </c>
      <c r="C1" s="309" t="s">
        <v>2575</v>
      </c>
      <c r="D1" s="309" t="s">
        <v>1604</v>
      </c>
      <c r="E1" s="309" t="s">
        <v>3</v>
      </c>
      <c r="F1" s="309" t="s">
        <v>1582</v>
      </c>
    </row>
    <row r="2" spans="1:6" ht="14.25">
      <c r="A2" s="333">
        <v>1</v>
      </c>
      <c r="B2" s="333" t="s">
        <v>2576</v>
      </c>
      <c r="C2" s="333" t="s">
        <v>2577</v>
      </c>
      <c r="D2" s="333" t="s">
        <v>2578</v>
      </c>
      <c r="E2" s="336" t="s">
        <v>1182</v>
      </c>
      <c r="F2" s="333">
        <v>480</v>
      </c>
    </row>
    <row r="3" spans="1:6" ht="14.25">
      <c r="A3" s="333">
        <v>2</v>
      </c>
      <c r="B3" s="333" t="s">
        <v>2579</v>
      </c>
      <c r="C3" s="333" t="s">
        <v>2580</v>
      </c>
      <c r="D3" s="333" t="s">
        <v>2581</v>
      </c>
      <c r="E3" s="336" t="s">
        <v>1182</v>
      </c>
      <c r="F3" s="333">
        <v>480</v>
      </c>
    </row>
    <row r="4" spans="1:6" ht="14.25">
      <c r="A4" s="333">
        <v>3</v>
      </c>
      <c r="B4" s="333" t="s">
        <v>2582</v>
      </c>
      <c r="C4" s="333" t="s">
        <v>2583</v>
      </c>
      <c r="D4" s="333" t="s">
        <v>2584</v>
      </c>
      <c r="E4" s="336" t="s">
        <v>1182</v>
      </c>
      <c r="F4" s="333">
        <v>80</v>
      </c>
    </row>
    <row r="5" spans="1:6" ht="14.25">
      <c r="A5" s="333">
        <v>4</v>
      </c>
      <c r="B5" s="333" t="s">
        <v>2585</v>
      </c>
      <c r="C5" s="333" t="s">
        <v>2586</v>
      </c>
      <c r="D5" s="333" t="s">
        <v>2587</v>
      </c>
      <c r="E5" s="336" t="s">
        <v>1182</v>
      </c>
      <c r="F5" s="333">
        <v>80</v>
      </c>
    </row>
    <row r="6" spans="1:6" ht="14.25">
      <c r="A6" s="333">
        <v>5</v>
      </c>
      <c r="B6" s="333" t="s">
        <v>2588</v>
      </c>
      <c r="C6" s="333" t="s">
        <v>2589</v>
      </c>
      <c r="D6" s="333" t="s">
        <v>2590</v>
      </c>
      <c r="E6" s="336" t="s">
        <v>1182</v>
      </c>
      <c r="F6" s="333">
        <v>80</v>
      </c>
    </row>
    <row r="7" spans="1:6" ht="14.25">
      <c r="A7" s="333">
        <v>6</v>
      </c>
      <c r="B7" s="333" t="s">
        <v>2591</v>
      </c>
      <c r="C7" s="333" t="s">
        <v>2592</v>
      </c>
      <c r="D7" s="333" t="s">
        <v>2593</v>
      </c>
      <c r="E7" s="336" t="s">
        <v>1182</v>
      </c>
      <c r="F7" s="333">
        <v>80</v>
      </c>
    </row>
    <row r="8" spans="1:6" ht="14.25">
      <c r="A8" s="333">
        <v>7</v>
      </c>
      <c r="B8" s="333" t="s">
        <v>2594</v>
      </c>
      <c r="C8" s="333" t="s">
        <v>2595</v>
      </c>
      <c r="D8" s="333" t="s">
        <v>2596</v>
      </c>
      <c r="E8" s="336" t="s">
        <v>1182</v>
      </c>
      <c r="F8" s="333">
        <v>160</v>
      </c>
    </row>
    <row r="9" spans="1:6" ht="14.25">
      <c r="A9" s="333">
        <v>8</v>
      </c>
      <c r="B9" s="333" t="s">
        <v>2597</v>
      </c>
      <c r="C9" s="333" t="s">
        <v>2598</v>
      </c>
      <c r="D9" s="333" t="s">
        <v>2599</v>
      </c>
      <c r="E9" s="336" t="s">
        <v>1182</v>
      </c>
      <c r="F9" s="333">
        <v>160</v>
      </c>
    </row>
    <row r="10" spans="1:6" ht="14.25">
      <c r="A10" s="333">
        <v>9</v>
      </c>
      <c r="B10" s="333" t="s">
        <v>2600</v>
      </c>
      <c r="C10" s="333" t="s">
        <v>2601</v>
      </c>
      <c r="D10" s="333" t="s">
        <v>2602</v>
      </c>
      <c r="E10" s="336" t="s">
        <v>1182</v>
      </c>
      <c r="F10" s="333">
        <v>64</v>
      </c>
    </row>
    <row r="11" spans="1:6" ht="14.25">
      <c r="A11" s="333">
        <v>10</v>
      </c>
      <c r="B11" s="333" t="s">
        <v>2603</v>
      </c>
      <c r="C11" s="333" t="s">
        <v>2604</v>
      </c>
      <c r="D11" s="333" t="s">
        <v>2605</v>
      </c>
      <c r="E11" s="336" t="s">
        <v>1182</v>
      </c>
      <c r="F11" s="333">
        <v>128</v>
      </c>
    </row>
    <row r="12" spans="1:6" ht="14.25">
      <c r="A12" s="333">
        <v>11</v>
      </c>
      <c r="B12" s="334" t="s">
        <v>2606</v>
      </c>
      <c r="C12" s="333" t="s">
        <v>2607</v>
      </c>
      <c r="D12" s="334" t="s">
        <v>2608</v>
      </c>
      <c r="E12" s="336" t="s">
        <v>1182</v>
      </c>
      <c r="F12" s="335">
        <v>2560</v>
      </c>
    </row>
    <row r="13" spans="1:6" ht="14.25">
      <c r="A13" s="333">
        <v>12</v>
      </c>
      <c r="B13" s="334" t="s">
        <v>2609</v>
      </c>
      <c r="C13" s="333" t="s">
        <v>2610</v>
      </c>
      <c r="D13" s="334" t="s">
        <v>2611</v>
      </c>
      <c r="E13" s="336" t="s">
        <v>1182</v>
      </c>
      <c r="F13" s="334">
        <v>320</v>
      </c>
    </row>
    <row r="14" spans="1:6" ht="14.25">
      <c r="A14" s="333">
        <v>13</v>
      </c>
      <c r="B14" s="334" t="s">
        <v>2612</v>
      </c>
      <c r="C14" s="333" t="s">
        <v>2613</v>
      </c>
      <c r="D14" s="334" t="s">
        <v>2614</v>
      </c>
      <c r="E14" s="336" t="s">
        <v>1182</v>
      </c>
      <c r="F14" s="334">
        <v>704</v>
      </c>
    </row>
    <row r="15" spans="1:6" ht="14.25">
      <c r="A15" s="333">
        <v>14</v>
      </c>
      <c r="B15" s="334" t="s">
        <v>2615</v>
      </c>
      <c r="C15" s="333" t="s">
        <v>2616</v>
      </c>
      <c r="D15" s="334" t="s">
        <v>2617</v>
      </c>
      <c r="E15" s="336" t="s">
        <v>1182</v>
      </c>
      <c r="F15" s="334">
        <v>192</v>
      </c>
    </row>
  </sheetData>
  <printOptions horizontalCentered="1"/>
  <pageMargins left="0.31496062992125984" right="0.31496062992125984" top="0.55118110236220474" bottom="0.55118110236220474" header="0.31496062992125984" footer="0.31496062992125984"/>
  <pageSetup orientation="landscape" horizontalDpi="4294967292" r:id="rId1"/>
  <headerFooter>
    <oddFooter>Page &amp;P of &amp;N</oddFooter>
  </headerFooter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69A22-FFBB-418F-A5CB-B6C91EFBACD1}">
  <dimension ref="A1:F15"/>
  <sheetViews>
    <sheetView zoomScaleNormal="100" workbookViewId="0">
      <selection activeCell="I14" sqref="I14"/>
    </sheetView>
  </sheetViews>
  <sheetFormatPr defaultColWidth="9.140625" defaultRowHeight="12.75"/>
  <cols>
    <col min="1" max="1" width="6.42578125" style="311" bestFit="1" customWidth="1"/>
    <col min="2" max="2" width="19.42578125" style="311" bestFit="1" customWidth="1"/>
    <col min="3" max="3" width="12.85546875" style="311" bestFit="1" customWidth="1"/>
    <col min="4" max="4" width="65.5703125" style="311" bestFit="1" customWidth="1"/>
    <col min="5" max="5" width="16" style="311" bestFit="1" customWidth="1"/>
    <col min="6" max="16384" width="9.140625" style="311"/>
  </cols>
  <sheetData>
    <row r="1" spans="1:6">
      <c r="A1" s="309" t="s">
        <v>2574</v>
      </c>
      <c r="B1" s="309" t="s">
        <v>2147</v>
      </c>
      <c r="C1" s="309" t="s">
        <v>2575</v>
      </c>
      <c r="D1" s="309" t="s">
        <v>1604</v>
      </c>
      <c r="E1" s="309" t="s">
        <v>3</v>
      </c>
      <c r="F1" s="309" t="s">
        <v>1582</v>
      </c>
    </row>
    <row r="2" spans="1:6" ht="14.25">
      <c r="A2" s="333"/>
      <c r="B2" s="333"/>
      <c r="C2" s="333"/>
      <c r="D2" s="333" t="s">
        <v>2618</v>
      </c>
      <c r="E2" s="336"/>
      <c r="F2" s="333"/>
    </row>
    <row r="3" spans="1:6" ht="14.25">
      <c r="A3" s="333"/>
      <c r="B3" s="333"/>
      <c r="C3" s="333"/>
      <c r="D3" s="333"/>
      <c r="E3" s="336"/>
      <c r="F3" s="333"/>
    </row>
    <row r="4" spans="1:6" ht="14.25">
      <c r="A4" s="333"/>
      <c r="B4" s="333"/>
      <c r="C4" s="333"/>
      <c r="D4" s="333"/>
      <c r="E4" s="336"/>
      <c r="F4" s="333"/>
    </row>
    <row r="5" spans="1:6" ht="14.25">
      <c r="A5" s="333"/>
      <c r="B5" s="333"/>
      <c r="C5" s="333"/>
      <c r="D5" s="333"/>
      <c r="E5" s="336"/>
      <c r="F5" s="333"/>
    </row>
    <row r="6" spans="1:6" ht="14.25">
      <c r="A6" s="333"/>
      <c r="B6" s="333"/>
      <c r="C6" s="333"/>
      <c r="D6" s="333"/>
      <c r="E6" s="336"/>
      <c r="F6" s="333"/>
    </row>
    <row r="7" spans="1:6" ht="14.25">
      <c r="A7" s="333"/>
      <c r="B7" s="333"/>
      <c r="C7" s="333"/>
      <c r="D7" s="333"/>
      <c r="E7" s="336"/>
      <c r="F7" s="333"/>
    </row>
    <row r="8" spans="1:6" ht="14.25">
      <c r="A8" s="333"/>
      <c r="B8" s="333"/>
      <c r="C8" s="333"/>
      <c r="D8" s="333"/>
      <c r="E8" s="336"/>
      <c r="F8" s="333"/>
    </row>
    <row r="9" spans="1:6" ht="14.25">
      <c r="A9" s="333"/>
      <c r="B9" s="333"/>
      <c r="C9" s="333"/>
      <c r="D9" s="333"/>
      <c r="E9" s="336"/>
      <c r="F9" s="333"/>
    </row>
    <row r="10" spans="1:6" ht="14.25">
      <c r="A10" s="333"/>
      <c r="B10" s="333"/>
      <c r="C10" s="333"/>
      <c r="D10" s="333"/>
      <c r="E10" s="336"/>
      <c r="F10" s="333"/>
    </row>
    <row r="11" spans="1:6" ht="14.25">
      <c r="A11" s="333"/>
      <c r="B11" s="333"/>
      <c r="C11" s="333"/>
      <c r="D11" s="333"/>
      <c r="E11" s="336"/>
      <c r="F11" s="333"/>
    </row>
    <row r="12" spans="1:6" ht="14.25">
      <c r="A12" s="333"/>
      <c r="B12" s="334"/>
      <c r="C12" s="333"/>
      <c r="D12" s="334"/>
      <c r="E12" s="336"/>
      <c r="F12" s="335"/>
    </row>
    <row r="13" spans="1:6" ht="14.25">
      <c r="A13" s="333"/>
      <c r="B13" s="334"/>
      <c r="C13" s="333"/>
      <c r="D13" s="334"/>
      <c r="E13" s="336"/>
      <c r="F13" s="334"/>
    </row>
    <row r="14" spans="1:6" ht="14.25">
      <c r="A14" s="333"/>
      <c r="B14" s="334"/>
      <c r="C14" s="333"/>
      <c r="D14" s="334"/>
      <c r="E14" s="336"/>
      <c r="F14" s="334"/>
    </row>
    <row r="15" spans="1:6" ht="14.25">
      <c r="A15" s="333"/>
      <c r="B15" s="334"/>
      <c r="C15" s="333"/>
      <c r="D15" s="334"/>
      <c r="E15" s="336"/>
      <c r="F15" s="334"/>
    </row>
  </sheetData>
  <printOptions horizontalCentered="1"/>
  <pageMargins left="0.31496062992125984" right="0.31496062992125984" top="0.55118110236220474" bottom="0.55118110236220474" header="0.31496062992125984" footer="0.31496062992125984"/>
  <pageSetup orientation="landscape" horizontalDpi="4294967292" r:id="rId1"/>
  <headerFooter>
    <oddFooter>Page &amp;P of &amp;N</oddFooter>
  </headerFooter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66EA9-1C64-4550-8A8C-BDB790B37FB8}">
  <dimension ref="A1:F5"/>
  <sheetViews>
    <sheetView tabSelected="1" zoomScaleNormal="100" workbookViewId="0">
      <selection activeCell="D1" sqref="D1:F5"/>
    </sheetView>
  </sheetViews>
  <sheetFormatPr defaultColWidth="9.140625" defaultRowHeight="12"/>
  <cols>
    <col min="1" max="1" width="6.42578125" style="338" bestFit="1" customWidth="1"/>
    <col min="2" max="2" width="19.42578125" style="338" bestFit="1" customWidth="1"/>
    <col min="3" max="3" width="33.42578125" style="338" customWidth="1"/>
    <col min="4" max="4" width="45" style="338" bestFit="1" customWidth="1"/>
    <col min="5" max="5" width="16" style="343" bestFit="1" customWidth="1"/>
    <col min="6" max="6" width="9.140625" style="343"/>
    <col min="7" max="16384" width="9.140625" style="338"/>
  </cols>
  <sheetData>
    <row r="1" spans="1:6">
      <c r="A1" s="337" t="s">
        <v>2574</v>
      </c>
      <c r="B1" s="337" t="s">
        <v>2147</v>
      </c>
      <c r="C1" s="337" t="s">
        <v>2575</v>
      </c>
      <c r="D1" s="337" t="s">
        <v>1604</v>
      </c>
      <c r="E1" s="337" t="s">
        <v>3</v>
      </c>
      <c r="F1" s="337" t="s">
        <v>1582</v>
      </c>
    </row>
    <row r="2" spans="1:6" ht="72">
      <c r="A2" s="339">
        <v>1</v>
      </c>
      <c r="B2" s="339"/>
      <c r="C2" s="340"/>
      <c r="D2" s="344" t="s">
        <v>2619</v>
      </c>
      <c r="E2" s="341" t="s">
        <v>1182</v>
      </c>
      <c r="F2" s="339">
        <v>15</v>
      </c>
    </row>
    <row r="3" spans="1:6" ht="120">
      <c r="A3" s="339">
        <v>2</v>
      </c>
      <c r="B3" s="339"/>
      <c r="C3" s="340"/>
      <c r="D3" s="344" t="s">
        <v>2620</v>
      </c>
      <c r="E3" s="341" t="s">
        <v>1182</v>
      </c>
      <c r="F3" s="339">
        <v>12</v>
      </c>
    </row>
    <row r="4" spans="1:6" ht="120">
      <c r="A4" s="339">
        <v>3</v>
      </c>
      <c r="B4" s="339"/>
      <c r="C4" s="340"/>
      <c r="D4" s="344" t="s">
        <v>2621</v>
      </c>
      <c r="E4" s="341" t="s">
        <v>1182</v>
      </c>
      <c r="F4" s="339">
        <v>30</v>
      </c>
    </row>
    <row r="5" spans="1:6" ht="72">
      <c r="A5" s="342">
        <v>4</v>
      </c>
      <c r="B5" s="342"/>
      <c r="C5" s="342"/>
      <c r="D5" s="345" t="s">
        <v>2622</v>
      </c>
      <c r="E5" s="341" t="s">
        <v>1182</v>
      </c>
      <c r="F5" s="341">
        <v>21</v>
      </c>
    </row>
  </sheetData>
  <printOptions horizontalCentered="1"/>
  <pageMargins left="0.31496062992125984" right="0.31496062992125984" top="0.55118110236220474" bottom="0.55118110236220474" header="0.31496062992125984" footer="0.31496062992125984"/>
  <pageSetup orientation="landscape" horizontalDpi="4294967292" r:id="rId1"/>
  <headerFooter>
    <oddFooter>Page &amp;P of &amp;N</oddFooter>
  </headerFooter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441D0-4787-4F28-B262-BC813BBBBBFD}">
  <dimension ref="A1:L5"/>
  <sheetViews>
    <sheetView zoomScaleNormal="100" workbookViewId="0">
      <selection activeCell="I1" sqref="I1:L2"/>
    </sheetView>
  </sheetViews>
  <sheetFormatPr defaultColWidth="9.140625" defaultRowHeight="12"/>
  <cols>
    <col min="1" max="1" width="6.42578125" style="338" bestFit="1" customWidth="1"/>
    <col min="2" max="2" width="19.42578125" style="338" bestFit="1" customWidth="1"/>
    <col min="3" max="3" width="33.42578125" style="338" customWidth="1"/>
    <col min="4" max="4" width="45" style="338" bestFit="1" customWidth="1"/>
    <col min="5" max="5" width="16" style="343" bestFit="1" customWidth="1"/>
    <col min="6" max="6" width="9.140625" style="343"/>
    <col min="7" max="7" width="9.140625" style="338"/>
    <col min="8" max="8" width="12.140625" style="338" bestFit="1" customWidth="1"/>
    <col min="9" max="10" width="10.42578125" style="338" customWidth="1"/>
    <col min="11" max="11" width="13.7109375" style="346" customWidth="1"/>
    <col min="12" max="12" width="30.28515625" style="338" bestFit="1" customWidth="1"/>
    <col min="13" max="16384" width="9.140625" style="338"/>
  </cols>
  <sheetData>
    <row r="1" spans="1:12" ht="25.5">
      <c r="A1" s="337" t="s">
        <v>2574</v>
      </c>
      <c r="B1" s="337" t="s">
        <v>2147</v>
      </c>
      <c r="C1" s="337" t="s">
        <v>2575</v>
      </c>
      <c r="D1" s="337" t="s">
        <v>1604</v>
      </c>
      <c r="E1" s="337" t="s">
        <v>3</v>
      </c>
      <c r="F1" s="337" t="s">
        <v>1582</v>
      </c>
      <c r="G1" s="308" t="s">
        <v>1583</v>
      </c>
      <c r="H1" s="308" t="s">
        <v>1584</v>
      </c>
      <c r="I1" s="349" t="s">
        <v>394</v>
      </c>
      <c r="J1" s="349" t="s">
        <v>2628</v>
      </c>
      <c r="K1" s="350" t="s">
        <v>2392</v>
      </c>
      <c r="L1" s="351" t="s">
        <v>2624</v>
      </c>
    </row>
    <row r="2" spans="1:12" ht="36">
      <c r="A2" s="339">
        <v>1</v>
      </c>
      <c r="B2" s="339"/>
      <c r="C2" s="340"/>
      <c r="D2" s="344" t="s">
        <v>2623</v>
      </c>
      <c r="E2" s="341" t="s">
        <v>382</v>
      </c>
      <c r="F2" s="339">
        <v>4</v>
      </c>
      <c r="G2" s="348">
        <v>75000</v>
      </c>
      <c r="H2" s="347">
        <f>G2*F2</f>
        <v>300000</v>
      </c>
      <c r="I2" s="348">
        <v>75000</v>
      </c>
      <c r="J2" s="348">
        <v>75000</v>
      </c>
      <c r="K2" s="353">
        <v>65400</v>
      </c>
      <c r="L2" s="352" t="s">
        <v>2625</v>
      </c>
    </row>
    <row r="3" spans="1:12">
      <c r="D3" s="342" t="s">
        <v>510</v>
      </c>
      <c r="E3" s="341"/>
      <c r="F3" s="341"/>
      <c r="G3" s="342"/>
      <c r="H3" s="347">
        <f>SUM(H2)</f>
        <v>300000</v>
      </c>
    </row>
    <row r="4" spans="1:12">
      <c r="D4" s="342" t="s">
        <v>2626</v>
      </c>
      <c r="E4" s="341"/>
      <c r="F4" s="341"/>
      <c r="G4" s="342"/>
      <c r="H4" s="348">
        <f>H3*18%</f>
        <v>54000</v>
      </c>
    </row>
    <row r="5" spans="1:12">
      <c r="D5" s="342" t="s">
        <v>2627</v>
      </c>
      <c r="E5" s="341"/>
      <c r="F5" s="341"/>
      <c r="G5" s="342"/>
      <c r="H5" s="347">
        <f>H3+H4</f>
        <v>354000</v>
      </c>
    </row>
  </sheetData>
  <printOptions horizontalCentered="1"/>
  <pageMargins left="0.31496062992125984" right="0.31496062992125984" top="0.55118110236220474" bottom="0.55118110236220474" header="0.31496062992125984" footer="0.31496062992125984"/>
  <pageSetup orientation="landscape" horizontalDpi="4294967292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140</vt:i4>
      </vt:variant>
      <vt:variant>
        <vt:lpstr>Named Ranges</vt:lpstr>
      </vt:variant>
      <vt:variant>
        <vt:i4>75</vt:i4>
      </vt:variant>
    </vt:vector>
  </HeadingPairs>
  <TitlesOfParts>
    <vt:vector size="215" baseType="lpstr">
      <vt:lpstr>3000071239</vt:lpstr>
      <vt:lpstr>Electrical</vt:lpstr>
      <vt:lpstr>3000070098</vt:lpstr>
      <vt:lpstr>3000070909</vt:lpstr>
      <vt:lpstr>3000070153</vt:lpstr>
      <vt:lpstr>3000073716</vt:lpstr>
      <vt:lpstr>3000073821</vt:lpstr>
      <vt:lpstr>3000073582</vt:lpstr>
      <vt:lpstr>3000074543</vt:lpstr>
      <vt:lpstr>3000076580</vt:lpstr>
      <vt:lpstr>3000078236</vt:lpstr>
      <vt:lpstr>3000079118</vt:lpstr>
      <vt:lpstr>3000080028</vt:lpstr>
      <vt:lpstr>Moog Bdgt</vt:lpstr>
      <vt:lpstr>3000081215</vt:lpstr>
      <vt:lpstr>3000081489</vt:lpstr>
      <vt:lpstr>30000145976</vt:lpstr>
      <vt:lpstr>Breaker test kit</vt:lpstr>
      <vt:lpstr>3000079117</vt:lpstr>
      <vt:lpstr>3000081256</vt:lpstr>
      <vt:lpstr>3000078564</vt:lpstr>
      <vt:lpstr>3000074520</vt:lpstr>
      <vt:lpstr>3000079853</vt:lpstr>
      <vt:lpstr>3000076778</vt:lpstr>
      <vt:lpstr>3000075170</vt:lpstr>
      <vt:lpstr>Kfine</vt:lpstr>
      <vt:lpstr>Fans-Meeta</vt:lpstr>
      <vt:lpstr>3000081388</vt:lpstr>
      <vt:lpstr>Contactor JSG</vt:lpstr>
      <vt:lpstr>3000078143</vt:lpstr>
      <vt:lpstr>3000085243</vt:lpstr>
      <vt:lpstr>TG Oil Pump</vt:lpstr>
      <vt:lpstr>Fans-Sampad</vt:lpstr>
      <vt:lpstr>Telemecaniq-Sampad</vt:lpstr>
      <vt:lpstr>ESP Isolator</vt:lpstr>
      <vt:lpstr>MEL391222130646</vt:lpstr>
      <vt:lpstr>Meeta 3000075170</vt:lpstr>
      <vt:lpstr>3000085783</vt:lpstr>
      <vt:lpstr>Moglix</vt:lpstr>
      <vt:lpstr>3000086774</vt:lpstr>
      <vt:lpstr>3000084708 </vt:lpstr>
      <vt:lpstr>30000087054</vt:lpstr>
      <vt:lpstr>Sovit</vt:lpstr>
      <vt:lpstr>Pr Guage</vt:lpstr>
      <vt:lpstr>3000084478</vt:lpstr>
      <vt:lpstr>3000084708</vt:lpstr>
      <vt:lpstr>Routing- Applied</vt:lpstr>
      <vt:lpstr>MHW311628000263</vt:lpstr>
      <vt:lpstr>MIA312515010107</vt:lpstr>
      <vt:lpstr>HRC- JSG-STEAG</vt:lpstr>
      <vt:lpstr>3000087910 </vt:lpstr>
      <vt:lpstr>Critical Material</vt:lpstr>
      <vt:lpstr>3000090436</vt:lpstr>
      <vt:lpstr>3266872087</vt:lpstr>
      <vt:lpstr>Amarkant Fan Actuator</vt:lpstr>
      <vt:lpstr>Amarkant Misc</vt:lpstr>
      <vt:lpstr>HT Motors</vt:lpstr>
      <vt:lpstr>AOH</vt:lpstr>
      <vt:lpstr>Gearbox Lot 10.</vt:lpstr>
      <vt:lpstr>Gearbox Lot 11</vt:lpstr>
      <vt:lpstr>MOV Electrosteel</vt:lpstr>
      <vt:lpstr>JOP Valves</vt:lpstr>
      <vt:lpstr>GV Budget</vt:lpstr>
      <vt:lpstr>LT Motors CPP</vt:lpstr>
      <vt:lpstr>Bharadwaj Elec </vt:lpstr>
      <vt:lpstr>Doc4511220060 </vt:lpstr>
      <vt:lpstr>Prashant Mech CPP</vt:lpstr>
      <vt:lpstr>SND TSPL</vt:lpstr>
      <vt:lpstr>Mech Import 25</vt:lpstr>
      <vt:lpstr>Mech POPO</vt:lpstr>
      <vt:lpstr>Doc4642732163</vt:lpstr>
      <vt:lpstr>Doc4642809444</vt:lpstr>
      <vt:lpstr>Doc4652136696</vt:lpstr>
      <vt:lpstr>DOC4646561912</vt:lpstr>
      <vt:lpstr>Doc4642762565</vt:lpstr>
      <vt:lpstr>Gen diodes &amp; Fuses</vt:lpstr>
      <vt:lpstr>YOX 280</vt:lpstr>
      <vt:lpstr>Doc4760561379</vt:lpstr>
      <vt:lpstr>3000118775</vt:lpstr>
      <vt:lpstr>3000119306</vt:lpstr>
      <vt:lpstr>Exciter for Meenakshi Site</vt:lpstr>
      <vt:lpstr>3000115413</vt:lpstr>
      <vt:lpstr> 3000118197</vt:lpstr>
      <vt:lpstr>Doc4793672932</vt:lpstr>
      <vt:lpstr>Doc4461195564 </vt:lpstr>
      <vt:lpstr>Doc4524210333</vt:lpstr>
      <vt:lpstr>3000118471</vt:lpstr>
      <vt:lpstr>Doc4790541698</vt:lpstr>
      <vt:lpstr>3000118839 </vt:lpstr>
      <vt:lpstr>3000115852</vt:lpstr>
      <vt:lpstr>Doc4869959237 </vt:lpstr>
      <vt:lpstr>3000120101</vt:lpstr>
      <vt:lpstr>3000115275</vt:lpstr>
      <vt:lpstr>3000119589</vt:lpstr>
      <vt:lpstr>3000119931</vt:lpstr>
      <vt:lpstr>3000118612</vt:lpstr>
      <vt:lpstr>5000006763</vt:lpstr>
      <vt:lpstr>5000006383</vt:lpstr>
      <vt:lpstr>3000120447</vt:lpstr>
      <vt:lpstr>3000119648</vt:lpstr>
      <vt:lpstr>3000120034</vt:lpstr>
      <vt:lpstr>3000120064</vt:lpstr>
      <vt:lpstr>3000118275</vt:lpstr>
      <vt:lpstr>Doc4937104866</vt:lpstr>
      <vt:lpstr>5000006353</vt:lpstr>
      <vt:lpstr>3000120357</vt:lpstr>
      <vt:lpstr>Diaphragm Coupling</vt:lpstr>
      <vt:lpstr>3000120475</vt:lpstr>
      <vt:lpstr>Doc4958075688</vt:lpstr>
      <vt:lpstr>Doc4945775348</vt:lpstr>
      <vt:lpstr>DC motors</vt:lpstr>
      <vt:lpstr>3000120009</vt:lpstr>
      <vt:lpstr>3000120324</vt:lpstr>
      <vt:lpstr>3000121261</vt:lpstr>
      <vt:lpstr>3000121044</vt:lpstr>
      <vt:lpstr>3000121136</vt:lpstr>
      <vt:lpstr>3000121246</vt:lpstr>
      <vt:lpstr>3000120604</vt:lpstr>
      <vt:lpstr>3000121767</vt:lpstr>
      <vt:lpstr>Doc5099031261</vt:lpstr>
      <vt:lpstr>5000007245</vt:lpstr>
      <vt:lpstr>Reheater spray MOV</vt:lpstr>
      <vt:lpstr>HPCV Cross head</vt:lpstr>
      <vt:lpstr>Main Turbine &amp; steam valves</vt:lpstr>
      <vt:lpstr>YV1 &amp; YV2</vt:lpstr>
      <vt:lpstr>Generator stator water manifold</vt:lpstr>
      <vt:lpstr>3000122262</vt:lpstr>
      <vt:lpstr>Doc5132783963</vt:lpstr>
      <vt:lpstr>Doc5077298124</vt:lpstr>
      <vt:lpstr>3000122264</vt:lpstr>
      <vt:lpstr>CEP Cartridge</vt:lpstr>
      <vt:lpstr>3000122441</vt:lpstr>
      <vt:lpstr>3000122443</vt:lpstr>
      <vt:lpstr>Doc5074023574</vt:lpstr>
      <vt:lpstr>Doc5007138466</vt:lpstr>
      <vt:lpstr>Turbine fastener and accessorie</vt:lpstr>
      <vt:lpstr>Enquiry for Liner Set</vt:lpstr>
      <vt:lpstr>Motor Cooling Fan &amp; Cooling Cov</vt:lpstr>
      <vt:lpstr>SWAS Chinese conductivity senso</vt:lpstr>
      <vt:lpstr>ID fan Labyrinth seal diagram</vt:lpstr>
      <vt:lpstr>' 3000118197'!Print_Area</vt:lpstr>
      <vt:lpstr>'3000071239'!Print_Area</vt:lpstr>
      <vt:lpstr>'3000115275'!Print_Area</vt:lpstr>
      <vt:lpstr>'3000115413'!Print_Area</vt:lpstr>
      <vt:lpstr>'3000115852'!Print_Area</vt:lpstr>
      <vt:lpstr>'3000118275'!Print_Area</vt:lpstr>
      <vt:lpstr>'3000118471'!Print_Area</vt:lpstr>
      <vt:lpstr>'3000118612'!Print_Area</vt:lpstr>
      <vt:lpstr>'3000118775'!Print_Area</vt:lpstr>
      <vt:lpstr>'3000118839 '!Print_Area</vt:lpstr>
      <vt:lpstr>'3000119306'!Print_Area</vt:lpstr>
      <vt:lpstr>'3000119589'!Print_Area</vt:lpstr>
      <vt:lpstr>'3000119648'!Print_Area</vt:lpstr>
      <vt:lpstr>'3000119931'!Print_Area</vt:lpstr>
      <vt:lpstr>'3000120009'!Print_Area</vt:lpstr>
      <vt:lpstr>'3000120034'!Print_Area</vt:lpstr>
      <vt:lpstr>'3000120064'!Print_Area</vt:lpstr>
      <vt:lpstr>'3000120101'!Print_Area</vt:lpstr>
      <vt:lpstr>'3000120324'!Print_Area</vt:lpstr>
      <vt:lpstr>'3000120357'!Print_Area</vt:lpstr>
      <vt:lpstr>'3000120447'!Print_Area</vt:lpstr>
      <vt:lpstr>'3000120475'!Print_Area</vt:lpstr>
      <vt:lpstr>'3000120604'!Print_Area</vt:lpstr>
      <vt:lpstr>'3000121044'!Print_Area</vt:lpstr>
      <vt:lpstr>'3000121136'!Print_Area</vt:lpstr>
      <vt:lpstr>'3000121246'!Print_Area</vt:lpstr>
      <vt:lpstr>'3000121261'!Print_Area</vt:lpstr>
      <vt:lpstr>'3000121767'!Print_Area</vt:lpstr>
      <vt:lpstr>'3000122262'!Print_Area</vt:lpstr>
      <vt:lpstr>'3000122264'!Print_Area</vt:lpstr>
      <vt:lpstr>'3000122441'!Print_Area</vt:lpstr>
      <vt:lpstr>'3000122443'!Print_Area</vt:lpstr>
      <vt:lpstr>'5000006353'!Print_Area</vt:lpstr>
      <vt:lpstr>'5000006383'!Print_Area</vt:lpstr>
      <vt:lpstr>'5000006763'!Print_Area</vt:lpstr>
      <vt:lpstr>'5000007245'!Print_Area</vt:lpstr>
      <vt:lpstr>'Bharadwaj Elec '!Print_Area</vt:lpstr>
      <vt:lpstr>'CEP Cartridge'!Print_Area</vt:lpstr>
      <vt:lpstr>'DC motors'!Print_Area</vt:lpstr>
      <vt:lpstr>'Diaphragm Coupling'!Print_Area</vt:lpstr>
      <vt:lpstr>'Doc4461195564 '!Print_Area</vt:lpstr>
      <vt:lpstr>'Doc4511220060 '!Print_Area</vt:lpstr>
      <vt:lpstr>Doc4524210333!Print_Area</vt:lpstr>
      <vt:lpstr>Doc4642732163!Print_Area</vt:lpstr>
      <vt:lpstr>Doc4642762565!Print_Area</vt:lpstr>
      <vt:lpstr>Doc4642809444!Print_Area</vt:lpstr>
      <vt:lpstr>DOC4646561912!Print_Area</vt:lpstr>
      <vt:lpstr>Doc4652136696!Print_Area</vt:lpstr>
      <vt:lpstr>Doc4760561379!Print_Area</vt:lpstr>
      <vt:lpstr>Doc4790541698!Print_Area</vt:lpstr>
      <vt:lpstr>Doc4793672932!Print_Area</vt:lpstr>
      <vt:lpstr>'Doc4869959237 '!Print_Area</vt:lpstr>
      <vt:lpstr>Doc4937104866!Print_Area</vt:lpstr>
      <vt:lpstr>Doc4945775348!Print_Area</vt:lpstr>
      <vt:lpstr>Doc4958075688!Print_Area</vt:lpstr>
      <vt:lpstr>Doc5007138466!Print_Area</vt:lpstr>
      <vt:lpstr>Doc5074023574!Print_Area</vt:lpstr>
      <vt:lpstr>Doc5077298124!Print_Area</vt:lpstr>
      <vt:lpstr>Doc5099031261!Print_Area</vt:lpstr>
      <vt:lpstr>Doc5132783963!Print_Area</vt:lpstr>
      <vt:lpstr>Electrical!Print_Area</vt:lpstr>
      <vt:lpstr>'Exciter for Meenakshi Site'!Print_Area</vt:lpstr>
      <vt:lpstr>'Gen diodes &amp; Fuses'!Print_Area</vt:lpstr>
      <vt:lpstr>'Generator stator water manifold'!Print_Area</vt:lpstr>
      <vt:lpstr>'GV Budget'!Print_Area</vt:lpstr>
      <vt:lpstr>'HPCV Cross head'!Print_Area</vt:lpstr>
      <vt:lpstr>'LT Motors CPP'!Print_Area</vt:lpstr>
      <vt:lpstr>'Main Turbine &amp; steam valves'!Print_Area</vt:lpstr>
      <vt:lpstr>'Mech Import 25'!Print_Area</vt:lpstr>
      <vt:lpstr>'Mech POPO'!Print_Area</vt:lpstr>
      <vt:lpstr>'Prashant Mech CPP'!Print_Area</vt:lpstr>
      <vt:lpstr>'Reheater spray MOV'!Print_Area</vt:lpstr>
      <vt:lpstr>'SND TSPL'!Print_Area</vt:lpstr>
      <vt:lpstr>'YOX 280'!Print_Area</vt:lpstr>
      <vt:lpstr>'YV1 &amp; YV2'!Print_Area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2026-05-26T13:21:58Z</dcterms:modified>
</cp:coreProperties>
</file>