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DE098908-6DBB-4DB9-A9BA-65F309E84EFC}" xr6:coauthVersionLast="47" xr6:coauthVersionMax="47" xr10:uidLastSave="{00000000-0000-0000-0000-000000000000}"/>
  <bookViews>
    <workbookView xWindow="-120" yWindow="-120" windowWidth="29040" windowHeight="15720" firstSheet="141" activeTab="143" xr2:uid="{00000000-000D-0000-FFFF-FFFF00000000}"/>
  </bookViews>
  <sheets>
    <sheet name="PR125" sheetId="4" r:id="rId1"/>
    <sheet name="PR191" sheetId="7" r:id="rId2"/>
    <sheet name="PR131" sheetId="8" r:id="rId3"/>
    <sheet name="Misc" sheetId="9" r:id="rId4"/>
    <sheet name="268" sheetId="10" r:id="rId5"/>
    <sheet name="PR21-105" sheetId="11" r:id="rId6"/>
    <sheet name="BFP Catridge" sheetId="12" r:id="rId7"/>
    <sheet name="PR21-118" sheetId="13" r:id="rId8"/>
    <sheet name="VCB" sheetId="14" r:id="rId9"/>
    <sheet name="UEC" sheetId="15" r:id="rId10"/>
    <sheet name="PR221 &amp; 222" sheetId="16" r:id="rId11"/>
    <sheet name="CT" sheetId="17" r:id="rId12"/>
    <sheet name="PR- 21- 266" sheetId="18" r:id="rId13"/>
    <sheet name="PR- 21- 262" sheetId="21" r:id="rId14"/>
    <sheet name="Oil Seal Saumitra" sheetId="22" r:id="rId15"/>
    <sheet name="Roller Assy" sheetId="23" r:id="rId16"/>
    <sheet name="PR- 21- 264" sheetId="24" r:id="rId17"/>
    <sheet name="PR- 21- 263" sheetId="25" r:id="rId18"/>
    <sheet name="21 280 &amp; 20 268" sheetId="26" r:id="rId19"/>
    <sheet name="Plough" sheetId="27" r:id="rId20"/>
    <sheet name="Siemens Load cell" sheetId="28" r:id="rId21"/>
    <sheet name="372" sheetId="29" r:id="rId22"/>
    <sheet name="Epro" sheetId="30" r:id="rId23"/>
    <sheet name="282" sheetId="31" r:id="rId24"/>
    <sheet name="222" sheetId="32" r:id="rId25"/>
    <sheet name="VSLP 028" sheetId="33" r:id="rId26"/>
    <sheet name="269-2" sheetId="34" r:id="rId27"/>
    <sheet name="278" sheetId="35" r:id="rId28"/>
    <sheet name="SWPL Indicator" sheetId="36" r:id="rId29"/>
    <sheet name="VSLP 118" sheetId="37" r:id="rId30"/>
    <sheet name="Torque card" sheetId="38" r:id="rId31"/>
    <sheet name="SCR Firing" sheetId="39" r:id="rId32"/>
    <sheet name="PR 22 32" sheetId="40" r:id="rId33"/>
    <sheet name="PR 22 58 11" sheetId="41" r:id="rId34"/>
    <sheet name="PR 22 91" sheetId="42" r:id="rId35"/>
    <sheet name="SWPL 102" sheetId="43" r:id="rId36"/>
    <sheet name="SWPL 444" sheetId="44" r:id="rId37"/>
    <sheet name="vslp 148" sheetId="45" r:id="rId38"/>
    <sheet name="vslp 148 SAIC" sheetId="46" r:id="rId39"/>
    <sheet name="vslp 297" sheetId="47" r:id="rId40"/>
    <sheet name="vslp 155" sheetId="48" r:id="rId41"/>
    <sheet name="SWPL Consolidated" sheetId="49" r:id="rId42"/>
    <sheet name="Sheet1" sheetId="88" r:id="rId43"/>
    <sheet name="SWPL 161" sheetId="50" r:id="rId44"/>
    <sheet name="VSLP CHEM 091" sheetId="51" r:id="rId45"/>
    <sheet name="VSLP EMD 229" sheetId="52" r:id="rId46"/>
    <sheet name="VSLP C&amp;I 220" sheetId="53" r:id="rId47"/>
    <sheet name="EMD 252" sheetId="54" r:id="rId48"/>
    <sheet name="MMD 241" sheetId="55" r:id="rId49"/>
    <sheet name="C&amp;I 097" sheetId="56" r:id="rId50"/>
    <sheet name="1100000019" sheetId="57" r:id="rId51"/>
    <sheet name="SWPL Elec-PR-22-58" sheetId="58" r:id="rId52"/>
    <sheet name="1100000214" sheetId="59" r:id="rId53"/>
    <sheet name="SWPL-214" sheetId="60" r:id="rId54"/>
    <sheet name="SWPL-194" sheetId="61" r:id="rId55"/>
    <sheet name="ESp Spares" sheetId="62" r:id="rId56"/>
    <sheet name="Oil Seal 1100000362" sheetId="63" r:id="rId57"/>
    <sheet name="VSLP 372" sheetId="64" r:id="rId58"/>
    <sheet name="Siemens Controller" sheetId="65" r:id="rId59"/>
    <sheet name="1100000459" sheetId="66" r:id="rId60"/>
    <sheet name="PRA010" sheetId="67" r:id="rId61"/>
    <sheet name="22PRA118" sheetId="68" r:id="rId62"/>
    <sheet name="TURBINE-VALVES" sheetId="69" r:id="rId63"/>
    <sheet name="Actuator SWPL" sheetId="71" r:id="rId64"/>
    <sheet name="SWPL HPU" sheetId="72" r:id="rId65"/>
    <sheet name="SWPL XMR Fan" sheetId="73" r:id="rId66"/>
    <sheet name="SWPL ACLOP Vlv" sheetId="74" r:id="rId67"/>
    <sheet name="SWPL YCT Motor" sheetId="75" r:id="rId68"/>
    <sheet name="Oil Seal Ashwajit" sheetId="76" r:id="rId69"/>
    <sheet name="Filter Vishal" sheetId="77" r:id="rId70"/>
    <sheet name="CS-1 Vishal" sheetId="78" r:id="rId71"/>
    <sheet name="23PRA123 VSLP" sheetId="79" r:id="rId72"/>
    <sheet name="Valve repair kit Vishal" sheetId="80" r:id="rId73"/>
    <sheet name="Moog Vishal" sheetId="81" r:id="rId74"/>
    <sheet name="23PRA021" sheetId="82" r:id="rId75"/>
    <sheet name="Vishal Cons June" sheetId="83" r:id="rId76"/>
    <sheet name="23PRA140" sheetId="84" r:id="rId77"/>
    <sheet name="1100000883" sheetId="85" r:id="rId78"/>
    <sheet name="23PRA215" sheetId="86" r:id="rId79"/>
    <sheet name="C&amp;I VSLP Aug" sheetId="87" r:id="rId80"/>
    <sheet name="SWPL TG Spares" sheetId="89" r:id="rId81"/>
    <sheet name="C&amp;I VSLP Add" sheetId="90" r:id="rId82"/>
    <sheet name="C&amp;I VSLP Order" sheetId="91" r:id="rId83"/>
    <sheet name="SWPL Pump" sheetId="70" r:id="rId84"/>
    <sheet name="..1100000883" sheetId="92" r:id="rId85"/>
    <sheet name="SWPL AOH 1100001331" sheetId="93" r:id="rId86"/>
    <sheet name="XJ Panel Spares" sheetId="94" r:id="rId87"/>
    <sheet name="1100001404" sheetId="95" r:id="rId88"/>
    <sheet name="VPC-TB " sheetId="96" r:id="rId89"/>
    <sheet name="1100001375" sheetId="97" r:id="rId90"/>
    <sheet name="1100001351" sheetId="98" r:id="rId91"/>
    <sheet name="OLTC" sheetId="99" r:id="rId92"/>
    <sheet name="1100001313" sheetId="100" r:id="rId93"/>
    <sheet name="1100001244 " sheetId="101" r:id="rId94"/>
    <sheet name="Ash Water Pump" sheetId="102" r:id="rId95"/>
    <sheet name="SWPL YCT Motor (2)" sheetId="103" r:id="rId96"/>
    <sheet name="Turning Gear Spares" sheetId="104" r:id="rId97"/>
    <sheet name="1100001462" sheetId="105" r:id="rId98"/>
    <sheet name="TBEA" sheetId="106" r:id="rId99"/>
    <sheet name="1100001489" sheetId="107" r:id="rId100"/>
    <sheet name="100032 , 100033 &amp; 100044" sheetId="108" r:id="rId101"/>
    <sheet name="GEAR BOX" sheetId="109" r:id="rId102"/>
    <sheet name="1100001706" sheetId="110" r:id="rId103"/>
    <sheet name="PR 21 262" sheetId="111" r:id="rId104"/>
    <sheet name="1100001443" sheetId="112" r:id="rId105"/>
    <sheet name="1100001747" sheetId="113" r:id="rId106"/>
    <sheet name="BUCKET WHEEL DRIVE GEAR BOX" sheetId="114" r:id="rId107"/>
    <sheet name="Skid Motor - Whatsapp" sheetId="115" r:id="rId108"/>
    <sheet name="100321" sheetId="116" r:id="rId109"/>
    <sheet name="100577 100578 100579 100599" sheetId="117" r:id="rId110"/>
    <sheet name="100688" sheetId="118" r:id="rId111"/>
    <sheet name="1100001896" sheetId="120" r:id="rId112"/>
    <sheet name="100569 100716" sheetId="121" r:id="rId113"/>
    <sheet name="1100002072" sheetId="122" r:id="rId114"/>
    <sheet name="1100002028" sheetId="123" r:id="rId115"/>
    <sheet name="1100002135" sheetId="124" r:id="rId116"/>
    <sheet name="100466" sheetId="125" r:id="rId117"/>
    <sheet name="100466 (2)" sheetId="126" r:id="rId118"/>
    <sheet name="1100002089 &amp; 1100002160" sheetId="127" r:id="rId119"/>
    <sheet name="100044" sheetId="128" r:id="rId120"/>
    <sheet name="1100002157 1100002028" sheetId="129" r:id="rId121"/>
    <sheet name="100724" sheetId="130" r:id="rId122"/>
    <sheet name="QUOTATION REQUIRED" sheetId="131" r:id="rId123"/>
    <sheet name="100493" sheetId="132" r:id="rId124"/>
    <sheet name="100023 &amp; 100035" sheetId="133" r:id="rId125"/>
    <sheet name="100706 &amp; 100818" sheetId="134" r:id="rId126"/>
    <sheet name="100044 - Speed Sensors" sheetId="135" r:id="rId127"/>
    <sheet name="High Voltage Motors" sheetId="136" r:id="rId128"/>
    <sheet name="100043" sheetId="137" r:id="rId129"/>
    <sheet name="NR relay display" sheetId="138" r:id="rId130"/>
    <sheet name="1100002028 (2)" sheetId="139" r:id="rId131"/>
    <sheet name="1100002177" sheetId="140" r:id="rId132"/>
    <sheet name="OFFER FOR SWPGPL" sheetId="141" r:id="rId133"/>
    <sheet name="1100002347" sheetId="142" r:id="rId134"/>
    <sheet name="1100002231" sheetId="143" r:id="rId135"/>
    <sheet name="REQUEST FOR OFFER-SWPGPL-TMD" sheetId="144" r:id="rId136"/>
    <sheet name="100044 - Deepak Kumar Namdev" sheetId="145" r:id="rId137"/>
    <sheet name="REQUEST FOR OFFER-SWPGPL - Fehe" sheetId="146" r:id="rId138"/>
    <sheet name="100393" sheetId="147" r:id="rId139"/>
    <sheet name="50024,50042 &amp; 100044" sheetId="148" r:id="rId140"/>
    <sheet name="PR NOS. 50825, 50835 &amp; 50885" sheetId="150" r:id="rId141"/>
    <sheet name="1100003038 " sheetId="151" r:id="rId142"/>
    <sheet name=" SUPPLY OF MOV CARD" sheetId="154" r:id="rId143"/>
    <sheet name="50680 &amp; 50667" sheetId="152" r:id="rId144"/>
    <sheet name=" 50247, 50248,50715, 50739 &amp; 50" sheetId="153" r:id="rId145"/>
    <sheet name="1200000169 " sheetId="155" r:id="rId146"/>
    <sheet name="1200001696" sheetId="156" r:id="rId147"/>
    <sheet name="1200001246 " sheetId="157" r:id="rId148"/>
  </sheets>
  <externalReferences>
    <externalReference r:id="rId149"/>
  </externalReferences>
  <definedNames>
    <definedName name="_xlnm._FilterDatabase" localSheetId="144" hidden="1">' 50247, 50248,50715, 50739 &amp; 50'!$A$1:$K$12</definedName>
    <definedName name="_xlnm._FilterDatabase" localSheetId="142" hidden="1">' SUPPLY OF MOV CARD'!$A$1:$K$20</definedName>
    <definedName name="_xlnm._FilterDatabase" localSheetId="124" hidden="1">'100023 &amp; 100035'!$A$1:$J$6</definedName>
    <definedName name="_xlnm._FilterDatabase" localSheetId="100" hidden="1">'100032 , 100033 &amp; 100044'!$A$1:$K$16</definedName>
    <definedName name="_xlnm._FilterDatabase" localSheetId="128" hidden="1">'100043'!$A$1:$J$12</definedName>
    <definedName name="_xlnm._FilterDatabase" localSheetId="119" hidden="1">'100044'!$A$1:$J$8</definedName>
    <definedName name="_xlnm._FilterDatabase" localSheetId="136" hidden="1">'100044 - Deepak Kumar Namdev'!$A$1:$J$10</definedName>
    <definedName name="_xlnm._FilterDatabase" localSheetId="126" hidden="1">'100044 - Speed Sensors'!$A$1:$J$8</definedName>
    <definedName name="_xlnm._FilterDatabase" localSheetId="108" hidden="1">'100321'!$A$1:$J$6</definedName>
    <definedName name="_xlnm._FilterDatabase" localSheetId="138" hidden="1">'100393'!$A$1:$J$7</definedName>
    <definedName name="_xlnm._FilterDatabase" localSheetId="116" hidden="1">'100466'!$A$1:$J$6</definedName>
    <definedName name="_xlnm._FilterDatabase" localSheetId="117" hidden="1">'100466 (2)'!$A$1:$J$7</definedName>
    <definedName name="_xlnm._FilterDatabase" localSheetId="123" hidden="1">'100493'!$A$1:$J$6</definedName>
    <definedName name="_xlnm._FilterDatabase" localSheetId="112" hidden="1">'100569 100716'!$A$1:$J$7</definedName>
    <definedName name="_xlnm._FilterDatabase" localSheetId="109" hidden="1">'100577 100578 100579 100599'!$A$1:$O$9</definedName>
    <definedName name="_xlnm._FilterDatabase" localSheetId="110" hidden="1">'100688'!$A$1:$J$6</definedName>
    <definedName name="_xlnm._FilterDatabase" localSheetId="125" hidden="1">'100706 &amp; 100818'!$A$1:$J$10</definedName>
    <definedName name="_xlnm._FilterDatabase" localSheetId="121" hidden="1">'100724'!$A$1:$J$7</definedName>
    <definedName name="_xlnm._FilterDatabase" localSheetId="104" hidden="1">'1100001443'!$A$1:$J$6</definedName>
    <definedName name="_xlnm._FilterDatabase" localSheetId="102" hidden="1">'1100001706'!$A$1:$J$7</definedName>
    <definedName name="_xlnm._FilterDatabase" localSheetId="105" hidden="1">'1100001747'!$A$1:$J$8</definedName>
    <definedName name="_xlnm._FilterDatabase" localSheetId="111" hidden="1">'1100001896'!$A$1:$J$8</definedName>
    <definedName name="_xlnm._FilterDatabase" localSheetId="114" hidden="1">'1100002028'!$A$1:$J$6</definedName>
    <definedName name="_xlnm._FilterDatabase" localSheetId="130" hidden="1">'1100002028 (2)'!$A$1:$J$7</definedName>
    <definedName name="_xlnm._FilterDatabase" localSheetId="113" hidden="1">'1100002072'!$A$1:$J$7</definedName>
    <definedName name="_xlnm._FilterDatabase" localSheetId="118" hidden="1">'1100002089 &amp; 1100002160'!$A$1:$K$9</definedName>
    <definedName name="_xlnm._FilterDatabase" localSheetId="115" hidden="1">'1100002135'!$A$1:$J$10</definedName>
    <definedName name="_xlnm._FilterDatabase" localSheetId="120" hidden="1">'1100002157 1100002028'!$A$1:$J$6</definedName>
    <definedName name="_xlnm._FilterDatabase" localSheetId="141" hidden="1">'1100003038 '!$A$1:$O$6</definedName>
    <definedName name="_xlnm._FilterDatabase" localSheetId="145" hidden="1">'1200000169 '!$A$1:$M$7</definedName>
    <definedName name="_xlnm._FilterDatabase" localSheetId="147" hidden="1">'1200001246 '!$A$1:$O$7</definedName>
    <definedName name="_xlnm._FilterDatabase" localSheetId="146" hidden="1">'1200001696'!$A$1:$O$6</definedName>
    <definedName name="_xlnm._FilterDatabase" localSheetId="139" hidden="1">'50024,50042 &amp; 100044'!$A$1:$J$10</definedName>
    <definedName name="_xlnm._FilterDatabase" localSheetId="143" hidden="1">'50680 &amp; 50667'!$A$2:$O$8</definedName>
    <definedName name="_xlnm._FilterDatabase" localSheetId="106" hidden="1">'BUCKET WHEEL DRIVE GEAR BOX'!$A$1:$J$6</definedName>
    <definedName name="_xlnm._FilterDatabase" localSheetId="81" hidden="1">'C&amp;I VSLP Add'!$A$1:$K$10</definedName>
    <definedName name="_xlnm._FilterDatabase" localSheetId="79" hidden="1">'C&amp;I VSLP Aug'!$A$1:$K$45</definedName>
    <definedName name="_xlnm._FilterDatabase" localSheetId="82" hidden="1">'C&amp;I VSLP Order'!$A$1:$K$20</definedName>
    <definedName name="_xlnm._FilterDatabase" localSheetId="101" hidden="1">'GEAR BOX'!$A$1:$J$6</definedName>
    <definedName name="_xlnm._FilterDatabase" localSheetId="127" hidden="1">'High Voltage Motors'!$A$1:$J$9</definedName>
    <definedName name="_xlnm._FilterDatabase" localSheetId="129" hidden="1">'NR relay display'!$A$1:$K$10</definedName>
    <definedName name="_xlnm._FilterDatabase" localSheetId="103" hidden="1">'PR 21 262'!$A$1:$J$6</definedName>
    <definedName name="_xlnm._FilterDatabase" localSheetId="140" hidden="1">'PR NOS. 50825, 50835 &amp; 50885'!$A$1:$M$15</definedName>
    <definedName name="_xlnm._FilterDatabase" localSheetId="122" hidden="1">'QUOTATION REQUIRED'!$A$1:$N$34</definedName>
    <definedName name="_xlnm._FilterDatabase" localSheetId="107" hidden="1">'Skid Motor - Whatsapp'!$A$1:$J$6</definedName>
    <definedName name="DV_area_2">[1]DV_sheet_!$C$1:$C$44</definedName>
    <definedName name="DV_area_3">[1]DV_sheet_!$D$1:$D$207</definedName>
    <definedName name="DV_area_4">[1]DV_sheet_!$E$1:$E$5</definedName>
    <definedName name="DV_area_5">[1]DV_sheet_!$F$1:$F$51</definedName>
    <definedName name="DV_area_6">[1]DV_sheet_!$G$1:$G$6</definedName>
    <definedName name="_xlnm.Print_Area" localSheetId="144">' 50247, 50248,50715, 50739 &amp; 50'!$A$1:$H$12</definedName>
    <definedName name="_xlnm.Print_Area" localSheetId="142">' SUPPLY OF MOV CARD'!$A$1:$H$20</definedName>
    <definedName name="_xlnm.Print_Area" localSheetId="84">'..1100000883'!$A$1:$G$8</definedName>
    <definedName name="_xlnm.Print_Area" localSheetId="124">'100023 &amp; 100035'!$A$1:$H$6</definedName>
    <definedName name="_xlnm.Print_Area" localSheetId="100">'100032 , 100033 &amp; 100044'!$A$1:$H$16</definedName>
    <definedName name="_xlnm.Print_Area" localSheetId="128">'100043'!$A$1:$H$12</definedName>
    <definedName name="_xlnm.Print_Area" localSheetId="119">'100044'!$A$1:$H$8</definedName>
    <definedName name="_xlnm.Print_Area" localSheetId="136">'100044 - Deepak Kumar Namdev'!$A$1:$H$10</definedName>
    <definedName name="_xlnm.Print_Area" localSheetId="126">'100044 - Speed Sensors'!$A$1:$H$8</definedName>
    <definedName name="_xlnm.Print_Area" localSheetId="108">'100321'!$A$1:$H$6</definedName>
    <definedName name="_xlnm.Print_Area" localSheetId="138">'100393'!$A$1:$H$7</definedName>
    <definedName name="_xlnm.Print_Area" localSheetId="116">'100466'!$A$1:$H$6</definedName>
    <definedName name="_xlnm.Print_Area" localSheetId="117">'100466 (2)'!$A$1:$H$7</definedName>
    <definedName name="_xlnm.Print_Area" localSheetId="123">'100493'!$A$1:$H$6</definedName>
    <definedName name="_xlnm.Print_Area" localSheetId="112">'100569 100716'!$A$1:$H$7</definedName>
    <definedName name="_xlnm.Print_Area" localSheetId="109">'100577 100578 100579 100599'!$A$1:$M$9</definedName>
    <definedName name="_xlnm.Print_Area" localSheetId="110">'100688'!$A$1:$H$6</definedName>
    <definedName name="_xlnm.Print_Area" localSheetId="125">'100706 &amp; 100818'!$A$1:$H$10</definedName>
    <definedName name="_xlnm.Print_Area" localSheetId="121">'100724'!$A$1:$H$7</definedName>
    <definedName name="_xlnm.Print_Area" localSheetId="50">'1100000019'!$A$1:$H$6</definedName>
    <definedName name="_xlnm.Print_Area" localSheetId="52">'1100000214'!$A$1:$H$5</definedName>
    <definedName name="_xlnm.Print_Area" localSheetId="59">'1100000459'!$A$1:$G$7</definedName>
    <definedName name="_xlnm.Print_Area" localSheetId="77">'1100000883'!$A$1:$G$8</definedName>
    <definedName name="_xlnm.Print_Area" localSheetId="93">'1100001244 '!$A$1:$G$7</definedName>
    <definedName name="_xlnm.Print_Area" localSheetId="92">'1100001313'!$A$1:$G$9</definedName>
    <definedName name="_xlnm.Print_Area" localSheetId="90">'1100001351'!$A$1:$G$7</definedName>
    <definedName name="_xlnm.Print_Area" localSheetId="89">'1100001375'!$A$1:$G$8</definedName>
    <definedName name="_xlnm.Print_Area" localSheetId="87">'1100001404'!$A$1:$G$8</definedName>
    <definedName name="_xlnm.Print_Area" localSheetId="104">'1100001443'!$A$1:$H$6</definedName>
    <definedName name="_xlnm.Print_Area" localSheetId="97">'1100001462'!$A$1:$F$7</definedName>
    <definedName name="_xlnm.Print_Area" localSheetId="99">'1100001489'!$A$1:$G$42</definedName>
    <definedName name="_xlnm.Print_Area" localSheetId="102">'1100001706'!$A$1:$H$7</definedName>
    <definedName name="_xlnm.Print_Area" localSheetId="105">'1100001747'!$A$1:$H$8</definedName>
    <definedName name="_xlnm.Print_Area" localSheetId="111">'1100001896'!$A$1:$H$8</definedName>
    <definedName name="_xlnm.Print_Area" localSheetId="114">'1100002028'!$A$1:$H$6</definedName>
    <definedName name="_xlnm.Print_Area" localSheetId="130">'1100002028 (2)'!$A$1:$H$7</definedName>
    <definedName name="_xlnm.Print_Area" localSheetId="113">'1100002072'!$A$1:$H$7</definedName>
    <definedName name="_xlnm.Print_Area" localSheetId="118">'1100002089 &amp; 1100002160'!$A$1:$H$9</definedName>
    <definedName name="_xlnm.Print_Area" localSheetId="115">'1100002135'!$A$1:$H$10</definedName>
    <definedName name="_xlnm.Print_Area" localSheetId="120">'1100002157 1100002028'!$A$1:$H$6</definedName>
    <definedName name="_xlnm.Print_Area" localSheetId="141">'1100003038 '!$A$1:$H$6</definedName>
    <definedName name="_xlnm.Print_Area" localSheetId="145">'1200000169 '!#REF!</definedName>
    <definedName name="_xlnm.Print_Area" localSheetId="147">'1200001246 '!$A$1:$H$7</definedName>
    <definedName name="_xlnm.Print_Area" localSheetId="146">'1200001696'!$A$1:$H$6</definedName>
    <definedName name="_xlnm.Print_Area" localSheetId="18">'21 280 &amp; 20 268'!$A$1:$G$8</definedName>
    <definedName name="_xlnm.Print_Area" localSheetId="24">'222'!$A$1:$G$7</definedName>
    <definedName name="_xlnm.Print_Area" localSheetId="61">'22PRA118'!$A$1:$G$8</definedName>
    <definedName name="_xlnm.Print_Area" localSheetId="74">'23PRA021'!$A$1:$G$7</definedName>
    <definedName name="_xlnm.Print_Area" localSheetId="71">'23PRA123 VSLP'!$A$1:$G$9</definedName>
    <definedName name="_xlnm.Print_Area" localSheetId="76">'23PRA140'!$A$1:$G$7</definedName>
    <definedName name="_xlnm.Print_Area" localSheetId="78">'23PRA215'!$A$1:$G$7</definedName>
    <definedName name="_xlnm.Print_Area" localSheetId="4">'268'!$A$1:$H$8</definedName>
    <definedName name="_xlnm.Print_Area" localSheetId="26">'269-2'!$A$1:$G$8</definedName>
    <definedName name="_xlnm.Print_Area" localSheetId="27">'278'!$A$1:$G$8</definedName>
    <definedName name="_xlnm.Print_Area" localSheetId="23">'282'!$A$1:$G$8</definedName>
    <definedName name="_xlnm.Print_Area" localSheetId="21">'372'!$A$1:$G$7</definedName>
    <definedName name="_xlnm.Print_Area" localSheetId="139">'50024,50042 &amp; 100044'!$A$1:$H$10</definedName>
    <definedName name="_xlnm.Print_Area" localSheetId="143">'50680 &amp; 50667'!$A$2:$H$8</definedName>
    <definedName name="_xlnm.Print_Area" localSheetId="63">'Actuator SWPL'!$A$1:$G$8</definedName>
    <definedName name="_xlnm.Print_Area" localSheetId="94">'Ash Water Pump'!$A$1:$G$13</definedName>
    <definedName name="_xlnm.Print_Area" localSheetId="6">'BFP Catridge'!$A$1:$G$8</definedName>
    <definedName name="_xlnm.Print_Area" localSheetId="106">'BUCKET WHEEL DRIVE GEAR BOX'!$A$1:$H$6</definedName>
    <definedName name="_xlnm.Print_Area" localSheetId="49">'C&amp;I 097'!$A$1:$H$5</definedName>
    <definedName name="_xlnm.Print_Area" localSheetId="81">'C&amp;I VSLP Add'!$A$1:$G$12</definedName>
    <definedName name="_xlnm.Print_Area" localSheetId="79">'C&amp;I VSLP Aug'!$A$1:$G$47</definedName>
    <definedName name="_xlnm.Print_Area" localSheetId="82">'C&amp;I VSLP Order'!$A$1:$G$22</definedName>
    <definedName name="_xlnm.Print_Area" localSheetId="70">'CS-1 Vishal'!$A$1:$G$7</definedName>
    <definedName name="_xlnm.Print_Area" localSheetId="11">CT!$A$1:$G$18</definedName>
    <definedName name="_xlnm.Print_Area" localSheetId="47">'EMD 252'!$A$1:$H$6</definedName>
    <definedName name="_xlnm.Print_Area" localSheetId="22">Epro!$A$1:$G$8</definedName>
    <definedName name="_xlnm.Print_Area" localSheetId="55">'ESp Spares'!$A$1:$H$10</definedName>
    <definedName name="_xlnm.Print_Area" localSheetId="69">'Filter Vishal'!$A$1:$G$7</definedName>
    <definedName name="_xlnm.Print_Area" localSheetId="101">'GEAR BOX'!$A$1:$H$6</definedName>
    <definedName name="_xlnm.Print_Area" localSheetId="127">'High Voltage Motors'!$A$1:$H$9</definedName>
    <definedName name="_xlnm.Print_Area" localSheetId="3">Misc!$A$1:$G$23</definedName>
    <definedName name="_xlnm.Print_Area" localSheetId="48">'MMD 241'!$A$1:$H$5</definedName>
    <definedName name="_xlnm.Print_Area" localSheetId="73">'Moog Vishal'!$A$1:$G$7</definedName>
    <definedName name="_xlnm.Print_Area" localSheetId="129">'NR relay display'!$A$1:$I$10</definedName>
    <definedName name="_xlnm.Print_Area" localSheetId="56">'Oil Seal 1100000362'!$A$1:$G$8</definedName>
    <definedName name="_xlnm.Print_Area" localSheetId="68">'Oil Seal Ashwajit'!$A$1:$G$8</definedName>
    <definedName name="_xlnm.Print_Area" localSheetId="14">'Oil Seal Saumitra'!$A$1:$G$8</definedName>
    <definedName name="_xlnm.Print_Area" localSheetId="91">OLTC!$A$1:$G$7</definedName>
    <definedName name="_xlnm.Print_Area" localSheetId="19">Plough!$A$1:$G$7</definedName>
    <definedName name="_xlnm.Print_Area" localSheetId="103">'PR 21 262'!$A$1:$H$6</definedName>
    <definedName name="_xlnm.Print_Area" localSheetId="13">'PR- 21- 262'!$A$1:$H$19</definedName>
    <definedName name="_xlnm.Print_Area" localSheetId="17">'PR- 21- 263'!$A$1:$H$15</definedName>
    <definedName name="_xlnm.Print_Area" localSheetId="16">'PR- 21- 264'!$A$1:$H$12</definedName>
    <definedName name="_xlnm.Print_Area" localSheetId="12">'PR- 21- 266'!$A$1:$G$30</definedName>
    <definedName name="_xlnm.Print_Area" localSheetId="32">'PR 22 32'!$A$1:$H$5</definedName>
    <definedName name="_xlnm.Print_Area" localSheetId="33">'PR 22 58 11'!$A$1:$I$16</definedName>
    <definedName name="_xlnm.Print_Area" localSheetId="34">'PR 22 91'!$A$1:$H$5</definedName>
    <definedName name="_xlnm.Print_Area" localSheetId="140">'PR NOS. 50825, 50835 &amp; 50885'!$A$1:$G$15</definedName>
    <definedName name="_xlnm.Print_Area" localSheetId="0">'PR125'!$A$1:$G$23</definedName>
    <definedName name="_xlnm.Print_Area" localSheetId="2">'PR131'!$A$1:$H$8</definedName>
    <definedName name="_xlnm.Print_Area" localSheetId="1">'PR191'!$A$1:$G$27</definedName>
    <definedName name="_xlnm.Print_Area" localSheetId="5">'PR21-105'!$A$1:$G$11</definedName>
    <definedName name="_xlnm.Print_Area" localSheetId="7">'PR21-118'!$A$1:$G$7</definedName>
    <definedName name="_xlnm.Print_Area" localSheetId="10">'PR221 &amp; 222'!$A$1:$G$10</definedName>
    <definedName name="_xlnm.Print_Area" localSheetId="60">'PRA010'!$A$1:$G$7</definedName>
    <definedName name="_xlnm.Print_Area" localSheetId="122">'QUOTATION REQUIRED'!$A$1:$I$34</definedName>
    <definedName name="_xlnm.Print_Area" localSheetId="15">'Roller Assy'!$A$1:$G$7</definedName>
    <definedName name="_xlnm.Print_Area" localSheetId="31">'SCR Firing'!$A$1:$H$5</definedName>
    <definedName name="_xlnm.Print_Area" localSheetId="58">'Siemens Controller'!$A$1:$H$5</definedName>
    <definedName name="_xlnm.Print_Area" localSheetId="20">'Siemens Load cell'!$A$1:$G$7</definedName>
    <definedName name="_xlnm.Print_Area" localSheetId="107">'Skid Motor - Whatsapp'!$A$1:$H$6</definedName>
    <definedName name="_xlnm.Print_Area" localSheetId="35">'SWPL 102'!$A$1:$H$6</definedName>
    <definedName name="_xlnm.Print_Area" localSheetId="43">'SWPL 161'!$A$1:$H$13</definedName>
    <definedName name="_xlnm.Print_Area" localSheetId="36">'SWPL 444'!$A$1:$H$5</definedName>
    <definedName name="_xlnm.Print_Area" localSheetId="66">'SWPL ACLOP Vlv'!$A$1:$G$7</definedName>
    <definedName name="_xlnm.Print_Area" localSheetId="85">'SWPL AOH 1100001331'!$A$1:$G$9</definedName>
    <definedName name="_xlnm.Print_Area" localSheetId="41">'SWPL Consolidated'!$A$1:$H$11</definedName>
    <definedName name="_xlnm.Print_Area" localSheetId="51">'SWPL Elec-PR-22-58'!$A$1:$H$16</definedName>
    <definedName name="_xlnm.Print_Area" localSheetId="64">'SWPL HPU'!$A$1:$G$7</definedName>
    <definedName name="_xlnm.Print_Area" localSheetId="28">'SWPL Indicator'!$A$1:$G$7</definedName>
    <definedName name="_xlnm.Print_Area" localSheetId="83">'SWPL Pump'!$A$1:$G$9</definedName>
    <definedName name="_xlnm.Print_Area" localSheetId="80">'SWPL TG Spares'!$A$1:$G$14</definedName>
    <definedName name="_xlnm.Print_Area" localSheetId="65">'SWPL XMR Fan'!$A$1:$G$9</definedName>
    <definedName name="_xlnm.Print_Area" localSheetId="67">'SWPL YCT Motor'!$A$1:$G$8</definedName>
    <definedName name="_xlnm.Print_Area" localSheetId="95">'SWPL YCT Motor (2)'!$A$1:$G$8</definedName>
    <definedName name="_xlnm.Print_Area" localSheetId="54">'SWPL-194'!$A$1:$H$5</definedName>
    <definedName name="_xlnm.Print_Area" localSheetId="53">'SWPL-214'!$A$1:$H$5</definedName>
    <definedName name="_xlnm.Print_Area" localSheetId="98">TBEA!$A$1:$F$9</definedName>
    <definedName name="_xlnm.Print_Area" localSheetId="30">'Torque card'!$A$1:$H$5</definedName>
    <definedName name="_xlnm.Print_Area" localSheetId="62">'TURBINE-VALVES'!$A$1:$G$9</definedName>
    <definedName name="_xlnm.Print_Area" localSheetId="96">'Turning Gear Spares'!$A$1:$G$15</definedName>
    <definedName name="_xlnm.Print_Area" localSheetId="9">UEC!$A$1:$G$7</definedName>
    <definedName name="_xlnm.Print_Area" localSheetId="72">'Valve repair kit Vishal'!$A$1:$G$8</definedName>
    <definedName name="_xlnm.Print_Area" localSheetId="75">'Vishal Cons June'!$A$1:$G$14</definedName>
    <definedName name="_xlnm.Print_Area" localSheetId="88">'VPC-TB '!$A$1:$G$7</definedName>
    <definedName name="_xlnm.Print_Area" localSheetId="25">'VSLP 028'!$A$1:$H$10</definedName>
    <definedName name="_xlnm.Print_Area" localSheetId="29">'VSLP 118'!$A$1:$H$5</definedName>
    <definedName name="_xlnm.Print_Area" localSheetId="37">'vslp 148'!$A$1:$H$5</definedName>
    <definedName name="_xlnm.Print_Area" localSheetId="38">'vslp 148 SAIC'!$A$1:$H$5</definedName>
    <definedName name="_xlnm.Print_Area" localSheetId="40">'vslp 155'!$A$1:$H$5</definedName>
    <definedName name="_xlnm.Print_Area" localSheetId="39">'vslp 297'!$A$1:$H$5</definedName>
    <definedName name="_xlnm.Print_Area" localSheetId="57">'VSLP 372'!$A$1:$H$12</definedName>
    <definedName name="_xlnm.Print_Area" localSheetId="46">'VSLP C&amp;I 220'!$A$1:$H$5</definedName>
    <definedName name="_xlnm.Print_Area" localSheetId="44">'VSLP CHEM 091'!$A$1:$H$8</definedName>
    <definedName name="_xlnm.Print_Area" localSheetId="45">'VSLP EMD 229'!$A$1:$H$8</definedName>
    <definedName name="_xlnm.Print_Area" localSheetId="86">'XJ Panel Spares'!$A$1:$H$9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7" i="152" l="1"/>
  <c r="H17" i="152" s="1"/>
  <c r="A21" i="152" l="1"/>
  <c r="A20" i="152"/>
  <c r="A19" i="152"/>
  <c r="H18" i="152"/>
  <c r="A18" i="152"/>
  <c r="G3" i="157"/>
  <c r="H3" i="157" s="1"/>
  <c r="G2" i="157"/>
  <c r="H2" i="157" s="1"/>
  <c r="H4" i="157" s="1"/>
  <c r="H5" i="157" s="1"/>
  <c r="H6" i="157" s="1"/>
  <c r="A6" i="157"/>
  <c r="A5" i="157"/>
  <c r="A4" i="157"/>
  <c r="G2" i="156"/>
  <c r="H2" i="156"/>
  <c r="H3" i="156" s="1"/>
  <c r="H4" i="156" s="1"/>
  <c r="H5" i="156" s="1"/>
  <c r="A5" i="156"/>
  <c r="A4" i="156"/>
  <c r="A3" i="156"/>
  <c r="N8" i="152"/>
  <c r="G3" i="152"/>
  <c r="H4" i="155"/>
  <c r="G7" i="155"/>
  <c r="H7" i="155" s="1"/>
  <c r="G6" i="155"/>
  <c r="H6" i="155" s="1"/>
  <c r="G5" i="155"/>
  <c r="H5" i="155" s="1"/>
  <c r="G3" i="155"/>
  <c r="H3" i="155" s="1"/>
  <c r="G2" i="155"/>
  <c r="H2" i="155" s="1"/>
  <c r="I5" i="155"/>
  <c r="I2" i="155"/>
  <c r="L7" i="155"/>
  <c r="I7" i="155" s="1"/>
  <c r="L6" i="155"/>
  <c r="I6" i="155" s="1"/>
  <c r="L3" i="155"/>
  <c r="I3" i="155" s="1"/>
  <c r="H19" i="152" l="1"/>
  <c r="H20" i="152" s="1"/>
  <c r="H21" i="152" s="1"/>
  <c r="H8" i="155"/>
  <c r="H9" i="155" s="1"/>
  <c r="H10" i="155" s="1"/>
  <c r="F20" i="150"/>
  <c r="F22" i="150" s="1"/>
  <c r="F21" i="150" l="1"/>
  <c r="G2" i="150"/>
  <c r="G4" i="152" l="1"/>
  <c r="H4" i="152" l="1"/>
  <c r="H3" i="152"/>
  <c r="G5" i="150"/>
  <c r="G4" i="150"/>
  <c r="G3" i="150"/>
  <c r="G11" i="150"/>
  <c r="G10" i="150"/>
  <c r="G9" i="150"/>
  <c r="G8" i="150"/>
  <c r="G7" i="150"/>
  <c r="G6" i="150"/>
  <c r="H2" i="151"/>
  <c r="G2" i="151"/>
  <c r="H5" i="152" l="1"/>
  <c r="H6" i="152" s="1"/>
  <c r="H7" i="152" s="1"/>
  <c r="G12" i="150"/>
  <c r="H3" i="151"/>
  <c r="H4" i="151" s="1"/>
  <c r="H5" i="151" s="1"/>
  <c r="A19" i="154"/>
  <c r="A18" i="154"/>
  <c r="A17" i="154"/>
  <c r="G16" i="154"/>
  <c r="H16" i="154" s="1"/>
  <c r="A16" i="154"/>
  <c r="G15" i="154"/>
  <c r="H15" i="154" s="1"/>
  <c r="A15" i="154"/>
  <c r="G14" i="154"/>
  <c r="H14" i="154" s="1"/>
  <c r="A14" i="154"/>
  <c r="G13" i="154"/>
  <c r="H13" i="154" s="1"/>
  <c r="A13" i="154"/>
  <c r="G12" i="154"/>
  <c r="H12" i="154" s="1"/>
  <c r="A12" i="154"/>
  <c r="G11" i="154"/>
  <c r="H11" i="154" s="1"/>
  <c r="A11" i="154"/>
  <c r="G10" i="154"/>
  <c r="H10" i="154" s="1"/>
  <c r="A10" i="154"/>
  <c r="G9" i="154"/>
  <c r="H9" i="154" s="1"/>
  <c r="A9" i="154"/>
  <c r="G8" i="154"/>
  <c r="H8" i="154" s="1"/>
  <c r="A8" i="154"/>
  <c r="G7" i="154"/>
  <c r="H7" i="154" s="1"/>
  <c r="A7" i="154"/>
  <c r="G6" i="154"/>
  <c r="H6" i="154" s="1"/>
  <c r="A6" i="154"/>
  <c r="G5" i="154"/>
  <c r="H5" i="154" s="1"/>
  <c r="A5" i="154"/>
  <c r="G4" i="154"/>
  <c r="H4" i="154" s="1"/>
  <c r="A4" i="154"/>
  <c r="G3" i="154"/>
  <c r="H3" i="154" s="1"/>
  <c r="A3" i="154"/>
  <c r="G2" i="154"/>
  <c r="H2" i="154" s="1"/>
  <c r="A2" i="154"/>
  <c r="G13" i="150" l="1"/>
  <c r="G14" i="150" s="1"/>
  <c r="G18" i="150"/>
  <c r="G25" i="150" s="1"/>
  <c r="G26" i="150" s="1"/>
  <c r="H17" i="154"/>
  <c r="H18" i="154" s="1"/>
  <c r="H19" i="154" s="1"/>
  <c r="G3" i="153"/>
  <c r="H3" i="153" s="1"/>
  <c r="G4" i="153"/>
  <c r="H4" i="153" s="1"/>
  <c r="G5" i="153"/>
  <c r="H5" i="153" s="1"/>
  <c r="G6" i="153"/>
  <c r="H6" i="153" s="1"/>
  <c r="G7" i="153"/>
  <c r="H7" i="153" s="1"/>
  <c r="G8" i="153"/>
  <c r="H8" i="153" s="1"/>
  <c r="A7" i="153"/>
  <c r="A8" i="153"/>
  <c r="A4" i="153"/>
  <c r="A5" i="153"/>
  <c r="A6" i="153"/>
  <c r="A9" i="153"/>
  <c r="A11" i="153"/>
  <c r="A10" i="153"/>
  <c r="A3" i="153"/>
  <c r="G2" i="153"/>
  <c r="H2" i="153" s="1"/>
  <c r="A2" i="153"/>
  <c r="A3" i="152"/>
  <c r="H9" i="153" l="1"/>
  <c r="H10" i="153" s="1"/>
  <c r="H11" i="153" s="1"/>
  <c r="A4" i="152" l="1"/>
  <c r="A7" i="152"/>
  <c r="A6" i="152"/>
  <c r="A5" i="152"/>
  <c r="A5" i="151"/>
  <c r="A4" i="151"/>
  <c r="A3" i="151"/>
  <c r="A4" i="150"/>
  <c r="A5" i="150"/>
  <c r="A6" i="150"/>
  <c r="A7" i="150"/>
  <c r="A8" i="150"/>
  <c r="A9" i="150"/>
  <c r="A10" i="150"/>
  <c r="A11" i="150"/>
  <c r="A2" i="150"/>
  <c r="A3" i="150"/>
  <c r="A12" i="150"/>
  <c r="A13" i="150"/>
  <c r="A14" i="150"/>
  <c r="G3" i="144"/>
  <c r="H3" i="144" s="1"/>
  <c r="G4" i="144"/>
  <c r="H4" i="144" s="1"/>
  <c r="G5" i="144"/>
  <c r="H5" i="144" s="1"/>
  <c r="G6" i="144"/>
  <c r="H6" i="144" s="1"/>
  <c r="G7" i="144"/>
  <c r="H7" i="144" s="1"/>
  <c r="G8" i="144"/>
  <c r="H8" i="144" s="1"/>
  <c r="G2" i="144"/>
  <c r="G3" i="146"/>
  <c r="H3" i="146" s="1"/>
  <c r="G4" i="146"/>
  <c r="H4" i="146" s="1"/>
  <c r="G5" i="146"/>
  <c r="H5" i="146" s="1"/>
  <c r="G6" i="146"/>
  <c r="H6" i="146" s="1"/>
  <c r="G7" i="146"/>
  <c r="H7" i="146" s="1"/>
  <c r="G8" i="146"/>
  <c r="H8" i="146" s="1"/>
  <c r="G9" i="146"/>
  <c r="H9" i="146" s="1"/>
  <c r="G10" i="146"/>
  <c r="H10" i="146" s="1"/>
  <c r="G11" i="146"/>
  <c r="H11" i="146" s="1"/>
  <c r="G12" i="146"/>
  <c r="H12" i="146" s="1"/>
  <c r="G13" i="146"/>
  <c r="H13" i="146" s="1"/>
  <c r="G14" i="146"/>
  <c r="H14" i="146" s="1"/>
  <c r="G15" i="146"/>
  <c r="H15" i="146" s="1"/>
  <c r="G16" i="146"/>
  <c r="H16" i="146" s="1"/>
  <c r="G17" i="146"/>
  <c r="H17" i="146" s="1"/>
  <c r="G18" i="146"/>
  <c r="H18" i="146" s="1"/>
  <c r="G19" i="146"/>
  <c r="H19" i="146" s="1"/>
  <c r="G20" i="146"/>
  <c r="H20" i="146" s="1"/>
  <c r="G21" i="146"/>
  <c r="H21" i="146" s="1"/>
  <c r="G22" i="146"/>
  <c r="H22" i="146" s="1"/>
  <c r="G2" i="146"/>
  <c r="H2" i="146" s="1"/>
  <c r="H23" i="146" l="1"/>
  <c r="A4" i="148"/>
  <c r="A5" i="148"/>
  <c r="A6" i="148"/>
  <c r="A9" i="148"/>
  <c r="A8" i="148"/>
  <c r="A7" i="148"/>
  <c r="G3" i="148"/>
  <c r="H3" i="148" s="1"/>
  <c r="A3" i="148"/>
  <c r="G2" i="148"/>
  <c r="H2" i="148" s="1"/>
  <c r="A2" i="148"/>
  <c r="H7" i="148" l="1"/>
  <c r="H8" i="148" s="1"/>
  <c r="H9" i="148" s="1"/>
  <c r="G2" i="147"/>
  <c r="G3" i="147"/>
  <c r="H3" i="147" l="1"/>
  <c r="H2" i="147"/>
  <c r="A3" i="147"/>
  <c r="A2" i="147"/>
  <c r="A6" i="147"/>
  <c r="A5" i="147"/>
  <c r="A4" i="147"/>
  <c r="H4" i="147"/>
  <c r="H5" i="147" s="1"/>
  <c r="H6" i="147" s="1"/>
  <c r="A9" i="146"/>
  <c r="A10" i="146"/>
  <c r="A11" i="146"/>
  <c r="A12" i="146"/>
  <c r="A13" i="146"/>
  <c r="A14" i="146"/>
  <c r="A15" i="146"/>
  <c r="A16" i="146"/>
  <c r="A17" i="146"/>
  <c r="A18" i="146"/>
  <c r="A19" i="146"/>
  <c r="A20" i="146"/>
  <c r="A21" i="146"/>
  <c r="A22" i="146"/>
  <c r="A23" i="146"/>
  <c r="A25" i="146"/>
  <c r="A24" i="146"/>
  <c r="A8" i="146"/>
  <c r="A7" i="146"/>
  <c r="A6" i="146"/>
  <c r="A5" i="146"/>
  <c r="A4" i="146"/>
  <c r="A3" i="146"/>
  <c r="A2" i="146"/>
  <c r="H24" i="146" l="1"/>
  <c r="H25" i="146" s="1"/>
  <c r="G4" i="145"/>
  <c r="H4" i="145" s="1"/>
  <c r="A9" i="145"/>
  <c r="A8" i="145"/>
  <c r="A7" i="145"/>
  <c r="I6" i="145"/>
  <c r="G6" i="145" s="1"/>
  <c r="H6" i="145" s="1"/>
  <c r="A6" i="145"/>
  <c r="I5" i="145"/>
  <c r="G5" i="145" s="1"/>
  <c r="H5" i="145" s="1"/>
  <c r="H7" i="145" s="1"/>
  <c r="A5" i="145"/>
  <c r="G2" i="143"/>
  <c r="H8" i="145" l="1"/>
  <c r="H9" i="145" s="1"/>
  <c r="A3" i="144"/>
  <c r="A4" i="144"/>
  <c r="A5" i="144"/>
  <c r="A6" i="144"/>
  <c r="A7" i="144"/>
  <c r="A8" i="144"/>
  <c r="A11" i="144"/>
  <c r="A10" i="144"/>
  <c r="A9" i="144"/>
  <c r="H2" i="144"/>
  <c r="H9" i="144" s="1"/>
  <c r="A2" i="144"/>
  <c r="A5" i="143"/>
  <c r="A4" i="143"/>
  <c r="A3" i="143"/>
  <c r="H2" i="143"/>
  <c r="H3" i="143" s="1"/>
  <c r="A2" i="143"/>
  <c r="A5" i="142"/>
  <c r="A4" i="142"/>
  <c r="A3" i="142"/>
  <c r="G2" i="142"/>
  <c r="H2" i="142" s="1"/>
  <c r="H3" i="142" s="1"/>
  <c r="A2" i="142"/>
  <c r="A6" i="141"/>
  <c r="A3" i="141"/>
  <c r="A4" i="141"/>
  <c r="A5" i="141"/>
  <c r="A9" i="141"/>
  <c r="A8" i="141"/>
  <c r="A7" i="141"/>
  <c r="H7" i="141"/>
  <c r="A2" i="141"/>
  <c r="G2" i="140"/>
  <c r="H2" i="140" s="1"/>
  <c r="H3" i="140" s="1"/>
  <c r="A2" i="140"/>
  <c r="A3" i="140"/>
  <c r="A4" i="140"/>
  <c r="A5" i="140"/>
  <c r="A6" i="139"/>
  <c r="A5" i="139"/>
  <c r="A4" i="139"/>
  <c r="G3" i="139"/>
  <c r="H3" i="139" s="1"/>
  <c r="A3" i="139"/>
  <c r="G2" i="139"/>
  <c r="H2" i="139" s="1"/>
  <c r="H4" i="139" s="1"/>
  <c r="H5" i="139" s="1"/>
  <c r="H6" i="139" s="1"/>
  <c r="A2" i="139"/>
  <c r="A9" i="138"/>
  <c r="A8" i="138"/>
  <c r="A7" i="138"/>
  <c r="H6" i="138"/>
  <c r="I6" i="138" s="1"/>
  <c r="A6" i="138"/>
  <c r="H5" i="138"/>
  <c r="I5" i="138" s="1"/>
  <c r="A5" i="138"/>
  <c r="H4" i="138"/>
  <c r="I4" i="138" s="1"/>
  <c r="A4" i="138"/>
  <c r="H3" i="138"/>
  <c r="I3" i="138" s="1"/>
  <c r="A3" i="138"/>
  <c r="H2" i="138"/>
  <c r="I2" i="138" s="1"/>
  <c r="A2" i="138"/>
  <c r="G3" i="135"/>
  <c r="H3" i="135" s="1"/>
  <c r="I4" i="135"/>
  <c r="G4" i="135" s="1"/>
  <c r="H4" i="135" s="1"/>
  <c r="I7" i="138" l="1"/>
  <c r="I8" i="138" s="1"/>
  <c r="I9" i="138" s="1"/>
  <c r="H10" i="144"/>
  <c r="H11" i="144" s="1"/>
  <c r="H4" i="143"/>
  <c r="H5" i="143" s="1"/>
  <c r="H4" i="142"/>
  <c r="H5" i="142" s="1"/>
  <c r="H8" i="141"/>
  <c r="H9" i="141" s="1"/>
  <c r="H4" i="140"/>
  <c r="H5" i="140" s="1"/>
  <c r="I2" i="135"/>
  <c r="G3" i="136"/>
  <c r="H3" i="136" s="1"/>
  <c r="G4" i="136"/>
  <c r="H4" i="136" s="1"/>
  <c r="G5" i="136"/>
  <c r="H5" i="136" s="1"/>
  <c r="G7" i="137" l="1"/>
  <c r="H7" i="137" s="1"/>
  <c r="G3" i="137"/>
  <c r="H3" i="137" s="1"/>
  <c r="G4" i="137"/>
  <c r="H4" i="137" s="1"/>
  <c r="G5" i="137"/>
  <c r="H5" i="137" s="1"/>
  <c r="G6" i="137"/>
  <c r="H6" i="137" s="1"/>
  <c r="G8" i="137"/>
  <c r="H8" i="137" s="1"/>
  <c r="G2" i="137"/>
  <c r="H2" i="137" s="1"/>
  <c r="A5" i="137"/>
  <c r="A6" i="137"/>
  <c r="A7" i="137"/>
  <c r="A8" i="137"/>
  <c r="A11" i="137"/>
  <c r="A10" i="137"/>
  <c r="A9" i="137"/>
  <c r="A4" i="137"/>
  <c r="A3" i="137"/>
  <c r="H9" i="137" l="1"/>
  <c r="H10" i="137" s="1"/>
  <c r="H11" i="137" s="1"/>
  <c r="G2" i="136"/>
  <c r="H2" i="136" s="1"/>
  <c r="H6" i="136" s="1"/>
  <c r="A5" i="136"/>
  <c r="A8" i="136"/>
  <c r="A7" i="136"/>
  <c r="A6" i="136"/>
  <c r="A4" i="136"/>
  <c r="A3" i="136"/>
  <c r="G2" i="135"/>
  <c r="H2" i="135" s="1"/>
  <c r="A7" i="135"/>
  <c r="A6" i="135"/>
  <c r="A5" i="135"/>
  <c r="A4" i="135"/>
  <c r="A3" i="135"/>
  <c r="G2" i="133"/>
  <c r="H2" i="133" s="1"/>
  <c r="H3" i="133" s="1"/>
  <c r="H4" i="133" s="1"/>
  <c r="H5" i="133" s="1"/>
  <c r="G3" i="134"/>
  <c r="H3" i="134" s="1"/>
  <c r="G4" i="134"/>
  <c r="H4" i="134" s="1"/>
  <c r="G5" i="134"/>
  <c r="H5" i="134" s="1"/>
  <c r="G6" i="134"/>
  <c r="H6" i="134" s="1"/>
  <c r="A3" i="134"/>
  <c r="A4" i="134"/>
  <c r="A5" i="134"/>
  <c r="A6" i="134"/>
  <c r="A9" i="134"/>
  <c r="A8" i="134"/>
  <c r="A7" i="134"/>
  <c r="G2" i="134"/>
  <c r="H2" i="134" s="1"/>
  <c r="H7" i="134" s="1"/>
  <c r="H8" i="134" s="1"/>
  <c r="H9" i="134" s="1"/>
  <c r="A2" i="134"/>
  <c r="A5" i="133"/>
  <c r="A4" i="133"/>
  <c r="A3" i="133"/>
  <c r="A2" i="133"/>
  <c r="G2" i="132"/>
  <c r="H2" i="132" s="1"/>
  <c r="H3" i="132" s="1"/>
  <c r="H4" i="132" s="1"/>
  <c r="H5" i="132" s="1"/>
  <c r="H11" i="131"/>
  <c r="A5" i="132"/>
  <c r="A4" i="132"/>
  <c r="A3" i="132"/>
  <c r="A2" i="132"/>
  <c r="H5" i="135" l="1"/>
  <c r="H6" i="135" s="1"/>
  <c r="H7" i="135" s="1"/>
  <c r="H7" i="136"/>
  <c r="H8" i="136" s="1"/>
  <c r="H11" i="123"/>
  <c r="H6" i="131"/>
  <c r="H3" i="123"/>
  <c r="H3" i="131"/>
  <c r="I3" i="131" s="1"/>
  <c r="A3" i="131" l="1"/>
  <c r="A4" i="131"/>
  <c r="A5" i="131"/>
  <c r="A6" i="131"/>
  <c r="A7" i="131"/>
  <c r="A8" i="131"/>
  <c r="A9" i="131"/>
  <c r="A10" i="131"/>
  <c r="A11" i="131"/>
  <c r="A12" i="131"/>
  <c r="A13" i="131"/>
  <c r="A14" i="131"/>
  <c r="A15" i="131"/>
  <c r="A16" i="131"/>
  <c r="A17" i="131"/>
  <c r="A18" i="131"/>
  <c r="A19" i="131"/>
  <c r="A20" i="131"/>
  <c r="A21" i="131"/>
  <c r="A22" i="131"/>
  <c r="A23" i="131"/>
  <c r="A24" i="131"/>
  <c r="A25" i="131"/>
  <c r="A26" i="131"/>
  <c r="A27" i="131"/>
  <c r="A28" i="131"/>
  <c r="A29" i="131"/>
  <c r="A30" i="131"/>
  <c r="A33" i="131"/>
  <c r="A32" i="131"/>
  <c r="A31" i="131"/>
  <c r="A2" i="131"/>
  <c r="G3" i="130"/>
  <c r="H3" i="130" s="1"/>
  <c r="A3" i="130"/>
  <c r="A6" i="130"/>
  <c r="A5" i="130"/>
  <c r="A4" i="130"/>
  <c r="G2" i="130"/>
  <c r="H2" i="130" s="1"/>
  <c r="A2" i="130"/>
  <c r="G2" i="129"/>
  <c r="H4" i="130" l="1"/>
  <c r="I31" i="131"/>
  <c r="I32" i="131" s="1"/>
  <c r="I33" i="131" s="1"/>
  <c r="H5" i="130"/>
  <c r="H6" i="130" s="1"/>
  <c r="A5" i="129"/>
  <c r="A4" i="129"/>
  <c r="A3" i="129"/>
  <c r="H2" i="129"/>
  <c r="A2" i="129"/>
  <c r="H3" i="129" l="1"/>
  <c r="H4" i="129" s="1"/>
  <c r="H5" i="129" s="1"/>
  <c r="I3" i="128"/>
  <c r="G3" i="128" s="1"/>
  <c r="H3" i="128" s="1"/>
  <c r="I4" i="128"/>
  <c r="G4" i="128" s="1"/>
  <c r="H4" i="128" s="1"/>
  <c r="I2" i="128"/>
  <c r="A4" i="128" l="1"/>
  <c r="A7" i="128"/>
  <c r="A6" i="128"/>
  <c r="A5" i="128"/>
  <c r="A3" i="128"/>
  <c r="G2" i="128"/>
  <c r="H2" i="128" s="1"/>
  <c r="H5" i="128" s="1"/>
  <c r="H6" i="128" s="1"/>
  <c r="H7" i="128" s="1"/>
  <c r="A2" i="128"/>
  <c r="G4" i="124" l="1"/>
  <c r="G5" i="124"/>
  <c r="G3" i="124"/>
  <c r="G3" i="127" l="1"/>
  <c r="H3" i="127" s="1"/>
  <c r="G4" i="127"/>
  <c r="H4" i="127" s="1"/>
  <c r="G5" i="127"/>
  <c r="H5" i="127" s="1"/>
  <c r="G2" i="127"/>
  <c r="H2" i="127" s="1"/>
  <c r="H6" i="127" l="1"/>
  <c r="H7" i="127" s="1"/>
  <c r="H8" i="127" s="1"/>
  <c r="G11" i="121"/>
  <c r="H11" i="121" s="1"/>
  <c r="A11" i="121"/>
  <c r="A4" i="127" l="1"/>
  <c r="A5" i="127"/>
  <c r="A8" i="127"/>
  <c r="A7" i="127"/>
  <c r="A6" i="127"/>
  <c r="A3" i="127"/>
  <c r="A2" i="127"/>
  <c r="H3" i="126" l="1"/>
  <c r="A3" i="126"/>
  <c r="A6" i="126"/>
  <c r="A5" i="126"/>
  <c r="A4" i="126"/>
  <c r="G2" i="126"/>
  <c r="H2" i="126" s="1"/>
  <c r="A2" i="126"/>
  <c r="H4" i="126" l="1"/>
  <c r="H5" i="126" s="1"/>
  <c r="H6" i="126" s="1"/>
  <c r="G2" i="125"/>
  <c r="H2" i="125" s="1"/>
  <c r="A5" i="125" l="1"/>
  <c r="A4" i="125"/>
  <c r="A3" i="125"/>
  <c r="H3" i="125"/>
  <c r="H4" i="125" s="1"/>
  <c r="H5" i="125" s="1"/>
  <c r="A2" i="125"/>
  <c r="G6" i="124"/>
  <c r="H6" i="124" s="1"/>
  <c r="H4" i="124"/>
  <c r="H5" i="124"/>
  <c r="G2" i="124"/>
  <c r="A2" i="124"/>
  <c r="H2" i="124"/>
  <c r="A3" i="124"/>
  <c r="A4" i="124"/>
  <c r="A5" i="124"/>
  <c r="A6" i="124"/>
  <c r="A9" i="124"/>
  <c r="A8" i="124"/>
  <c r="A7" i="124"/>
  <c r="A5" i="123"/>
  <c r="A4" i="123"/>
  <c r="A3" i="123"/>
  <c r="G2" i="123"/>
  <c r="A2" i="123"/>
  <c r="G2" i="120"/>
  <c r="O3" i="120"/>
  <c r="O4" i="120"/>
  <c r="O2" i="120"/>
  <c r="M2" i="120"/>
  <c r="M3" i="120" l="1"/>
  <c r="O5" i="120"/>
  <c r="G3" i="122"/>
  <c r="H3" i="122" s="1"/>
  <c r="G2" i="122"/>
  <c r="H2" i="122" s="1"/>
  <c r="H4" i="122" s="1"/>
  <c r="H5" i="122" s="1"/>
  <c r="A3" i="122"/>
  <c r="A6" i="122"/>
  <c r="A5" i="122"/>
  <c r="A4" i="122"/>
  <c r="A2" i="122"/>
  <c r="H6" i="122" l="1"/>
  <c r="G2" i="121"/>
  <c r="H2" i="121" s="1"/>
  <c r="G3" i="121"/>
  <c r="H3" i="121" s="1"/>
  <c r="H4" i="121"/>
  <c r="H5" i="121" s="1"/>
  <c r="H6" i="121" s="1"/>
  <c r="A6" i="121" l="1"/>
  <c r="A5" i="121"/>
  <c r="A4" i="121"/>
  <c r="A3" i="121"/>
  <c r="A2" i="121"/>
  <c r="L3" i="117" l="1"/>
  <c r="M3" i="117" s="1"/>
  <c r="L4" i="117"/>
  <c r="M4" i="117" s="1"/>
  <c r="L5" i="117"/>
  <c r="M5" i="117" s="1"/>
  <c r="L2" i="117"/>
  <c r="M2" i="117" s="1"/>
  <c r="M6" i="117" l="1"/>
  <c r="M7" i="117" s="1"/>
  <c r="M8" i="117" s="1"/>
  <c r="G4" i="120"/>
  <c r="G3" i="120"/>
  <c r="H4" i="120" l="1"/>
  <c r="A4" i="120"/>
  <c r="A7" i="120"/>
  <c r="A6" i="120"/>
  <c r="A5" i="120"/>
  <c r="H3" i="120"/>
  <c r="A3" i="120"/>
  <c r="H2" i="120"/>
  <c r="H5" i="120" s="1"/>
  <c r="A2" i="120"/>
  <c r="G2" i="118"/>
  <c r="H2" i="118" s="1"/>
  <c r="H3" i="118" s="1"/>
  <c r="H4" i="118" s="1"/>
  <c r="H5" i="118" s="1"/>
  <c r="A5" i="118"/>
  <c r="A4" i="118"/>
  <c r="A3" i="118"/>
  <c r="A2" i="118"/>
  <c r="A3" i="117"/>
  <c r="A4" i="117"/>
  <c r="A5" i="117"/>
  <c r="A8" i="117"/>
  <c r="A7" i="117"/>
  <c r="A6" i="117"/>
  <c r="A2" i="117"/>
  <c r="H6" i="120" l="1"/>
  <c r="H7" i="120" s="1"/>
  <c r="O6" i="120"/>
  <c r="A5" i="116"/>
  <c r="A4" i="116"/>
  <c r="A3" i="116"/>
  <c r="G2" i="116"/>
  <c r="H2" i="116" s="1"/>
  <c r="H3" i="116" s="1"/>
  <c r="H4" i="116" s="1"/>
  <c r="H5" i="116" s="1"/>
  <c r="A2" i="116"/>
  <c r="A5" i="115" l="1"/>
  <c r="A4" i="115"/>
  <c r="A3" i="115"/>
  <c r="G2" i="115"/>
  <c r="H2" i="115" s="1"/>
  <c r="H3" i="115" s="1"/>
  <c r="H4" i="115" s="1"/>
  <c r="H5" i="115" s="1"/>
  <c r="A2" i="115"/>
  <c r="G2" i="114" l="1"/>
  <c r="H2" i="114" s="1"/>
  <c r="H3" i="114" s="1"/>
  <c r="H4" i="114" s="1"/>
  <c r="H5" i="114" s="1"/>
  <c r="A5" i="114" l="1"/>
  <c r="A4" i="114"/>
  <c r="A3" i="114"/>
  <c r="A2" i="114"/>
  <c r="G2" i="109" l="1"/>
  <c r="I3" i="113" l="1"/>
  <c r="G3" i="113" s="1"/>
  <c r="H3" i="113" s="1"/>
  <c r="I4" i="113"/>
  <c r="G4" i="113" s="1"/>
  <c r="H4" i="113" s="1"/>
  <c r="I2" i="113"/>
  <c r="G2" i="113" s="1"/>
  <c r="H2" i="113" s="1"/>
  <c r="A3" i="113"/>
  <c r="A4" i="113"/>
  <c r="A7" i="113"/>
  <c r="A6" i="113"/>
  <c r="A5" i="113"/>
  <c r="A2" i="113"/>
  <c r="H5" i="113" l="1"/>
  <c r="H6" i="113" s="1"/>
  <c r="H7" i="113" s="1"/>
  <c r="G2" i="112"/>
  <c r="H2" i="112" s="1"/>
  <c r="H3" i="112" s="1"/>
  <c r="H4" i="112" s="1"/>
  <c r="H5" i="112" s="1"/>
  <c r="A5" i="112"/>
  <c r="A4" i="112"/>
  <c r="A3" i="112"/>
  <c r="A2" i="112"/>
  <c r="G2" i="111" l="1"/>
  <c r="H2" i="111" s="1"/>
  <c r="H3" i="111" s="1"/>
  <c r="H4" i="111" s="1"/>
  <c r="H5" i="111" s="1"/>
  <c r="A5" i="111"/>
  <c r="A4" i="111"/>
  <c r="A3" i="111"/>
  <c r="A2" i="111"/>
  <c r="G2" i="110" l="1"/>
  <c r="H2" i="110" s="1"/>
  <c r="G3" i="110"/>
  <c r="H3" i="110" s="1"/>
  <c r="A3" i="110"/>
  <c r="A6" i="110"/>
  <c r="A5" i="110"/>
  <c r="A4" i="110"/>
  <c r="A2" i="110"/>
  <c r="H4" i="110" l="1"/>
  <c r="H5" i="110" s="1"/>
  <c r="H6" i="110" s="1"/>
  <c r="H2" i="109"/>
  <c r="H3" i="109" s="1"/>
  <c r="H4" i="109" s="1"/>
  <c r="H5" i="109" s="1"/>
  <c r="A5" i="109"/>
  <c r="A4" i="109"/>
  <c r="A3" i="109"/>
  <c r="A2" i="109"/>
  <c r="G12" i="108" l="1"/>
  <c r="H12" i="108" s="1"/>
  <c r="G11" i="108"/>
  <c r="H11" i="108" s="1"/>
  <c r="G10" i="108"/>
  <c r="H10" i="108" s="1"/>
  <c r="G9" i="108"/>
  <c r="H9" i="108" s="1"/>
  <c r="G8" i="108"/>
  <c r="H8" i="108" s="1"/>
  <c r="G7" i="108"/>
  <c r="H7" i="108" s="1"/>
  <c r="G6" i="108"/>
  <c r="H6" i="108" s="1"/>
  <c r="G5" i="108"/>
  <c r="H5" i="108" s="1"/>
  <c r="G4" i="108"/>
  <c r="H4" i="108" s="1"/>
  <c r="G3" i="108"/>
  <c r="H3" i="108" s="1"/>
  <c r="G2" i="108"/>
  <c r="H2" i="108" s="1"/>
  <c r="H13" i="108" l="1"/>
  <c r="H14" i="108" s="1"/>
  <c r="H15" i="108" s="1"/>
  <c r="A15" i="108"/>
  <c r="A14" i="108"/>
  <c r="A13" i="108"/>
  <c r="A12" i="108"/>
  <c r="A11" i="108"/>
  <c r="A10" i="108"/>
  <c r="A9" i="108"/>
  <c r="A8" i="108"/>
  <c r="A7" i="108"/>
  <c r="A6" i="108"/>
  <c r="A5" i="108"/>
  <c r="A4" i="108"/>
  <c r="A3" i="108"/>
  <c r="A2" i="108"/>
  <c r="H4" i="107" l="1"/>
  <c r="H5" i="107"/>
  <c r="H6" i="107"/>
  <c r="H7" i="107"/>
  <c r="H8" i="107"/>
  <c r="H9" i="107"/>
  <c r="H10" i="107"/>
  <c r="H11" i="107"/>
  <c r="H12" i="107"/>
  <c r="H13" i="107"/>
  <c r="F13" i="107" s="1"/>
  <c r="H14" i="107"/>
  <c r="H15" i="107"/>
  <c r="H16" i="107"/>
  <c r="H17" i="107"/>
  <c r="H18" i="107"/>
  <c r="H19" i="107"/>
  <c r="H20" i="107"/>
  <c r="H21" i="107"/>
  <c r="H22" i="107"/>
  <c r="H23" i="107"/>
  <c r="H24" i="107"/>
  <c r="H25" i="107"/>
  <c r="H26" i="107"/>
  <c r="H27" i="107"/>
  <c r="H28" i="107"/>
  <c r="H29" i="107"/>
  <c r="H30" i="107"/>
  <c r="H31" i="107"/>
  <c r="H32" i="107"/>
  <c r="H33" i="107"/>
  <c r="H34" i="107"/>
  <c r="H35" i="107"/>
  <c r="H36" i="107"/>
  <c r="H37" i="107"/>
  <c r="H3" i="107"/>
  <c r="F3" i="107" s="1"/>
  <c r="G3" i="107" s="1"/>
  <c r="H2" i="107"/>
  <c r="F2" i="107" s="1"/>
  <c r="F35" i="107" l="1"/>
  <c r="G35" i="107" s="1"/>
  <c r="F33" i="107"/>
  <c r="G33" i="107" s="1"/>
  <c r="F32" i="107"/>
  <c r="G32" i="107" s="1"/>
  <c r="F31" i="107"/>
  <c r="G31" i="107" s="1"/>
  <c r="F30" i="107"/>
  <c r="G30" i="107" s="1"/>
  <c r="F29" i="107"/>
  <c r="G29" i="107" s="1"/>
  <c r="F28" i="107"/>
  <c r="G28" i="107" s="1"/>
  <c r="F27" i="107"/>
  <c r="G27" i="107" s="1"/>
  <c r="F26" i="107"/>
  <c r="G26" i="107" s="1"/>
  <c r="F25" i="107"/>
  <c r="G25" i="107" s="1"/>
  <c r="F24" i="107"/>
  <c r="G24" i="107" s="1"/>
  <c r="F22" i="107"/>
  <c r="G22" i="107" s="1"/>
  <c r="F21" i="107"/>
  <c r="G21" i="107" s="1"/>
  <c r="F19" i="107"/>
  <c r="G19" i="107" s="1"/>
  <c r="F18" i="107"/>
  <c r="G18" i="107" s="1"/>
  <c r="F17" i="107"/>
  <c r="G17" i="107" s="1"/>
  <c r="F16" i="107"/>
  <c r="G16" i="107" s="1"/>
  <c r="F15" i="107"/>
  <c r="G15" i="107" s="1"/>
  <c r="F14" i="107"/>
  <c r="G14" i="107" s="1"/>
  <c r="F9" i="107"/>
  <c r="G9" i="107" s="1"/>
  <c r="F8" i="107"/>
  <c r="G8" i="107" s="1"/>
  <c r="F6" i="107"/>
  <c r="G6" i="107" s="1"/>
  <c r="G13" i="107"/>
  <c r="F23" i="107"/>
  <c r="G23" i="107" s="1"/>
  <c r="F37" i="107"/>
  <c r="G2" i="107"/>
  <c r="F4" i="107"/>
  <c r="G4" i="107" s="1"/>
  <c r="F36" i="107"/>
  <c r="G36" i="107" s="1"/>
  <c r="F34" i="107"/>
  <c r="G34" i="107" s="1"/>
  <c r="F20" i="107"/>
  <c r="G20" i="107" s="1"/>
  <c r="F12" i="107"/>
  <c r="G12" i="107" s="1"/>
  <c r="F11" i="107"/>
  <c r="G11" i="107" s="1"/>
  <c r="F10" i="107"/>
  <c r="G10" i="107" s="1"/>
  <c r="F7" i="107"/>
  <c r="G7" i="107" s="1"/>
  <c r="F5" i="107"/>
  <c r="G5" i="107" s="1"/>
  <c r="G4" i="106"/>
  <c r="E4" i="106" s="1"/>
  <c r="F4" i="106" s="1"/>
  <c r="G3" i="106"/>
  <c r="E3" i="106" s="1"/>
  <c r="F3" i="106" s="1"/>
  <c r="G2" i="106"/>
  <c r="E2" i="106" s="1"/>
  <c r="F2" i="106" s="1"/>
  <c r="E2" i="105"/>
  <c r="F2" i="105" s="1"/>
  <c r="H3" i="104"/>
  <c r="F3" i="104" s="1"/>
  <c r="G3" i="104" s="1"/>
  <c r="H4" i="104"/>
  <c r="H5" i="104"/>
  <c r="F5" i="104" s="1"/>
  <c r="G5" i="104" s="1"/>
  <c r="H6" i="104"/>
  <c r="F6" i="104" s="1"/>
  <c r="G6" i="104" s="1"/>
  <c r="H7" i="104"/>
  <c r="F7" i="104" s="1"/>
  <c r="H8" i="104"/>
  <c r="F8" i="104" s="1"/>
  <c r="H9" i="104"/>
  <c r="F9" i="104" s="1"/>
  <c r="G9" i="104" s="1"/>
  <c r="H10" i="104"/>
  <c r="F10" i="104" s="1"/>
  <c r="G10" i="104" s="1"/>
  <c r="H2" i="104"/>
  <c r="F2" i="104" s="1"/>
  <c r="G2" i="104" s="1"/>
  <c r="F3" i="103"/>
  <c r="G3" i="103" s="1"/>
  <c r="G4" i="103" s="1"/>
  <c r="G5" i="103" s="1"/>
  <c r="G6" i="103" s="1"/>
  <c r="G7" i="104" l="1"/>
  <c r="F4" i="104"/>
  <c r="G4" i="104" s="1"/>
  <c r="G37" i="107"/>
  <c r="G38" i="107" s="1"/>
  <c r="F5" i="106"/>
  <c r="F6" i="106" s="1"/>
  <c r="F7" i="106" s="1"/>
  <c r="F3" i="105"/>
  <c r="F4" i="105" s="1"/>
  <c r="F5" i="105" s="1"/>
  <c r="G8" i="104"/>
  <c r="H8" i="102"/>
  <c r="F8" i="102" s="1"/>
  <c r="G8" i="102" s="1"/>
  <c r="H7" i="102"/>
  <c r="F7" i="102" s="1"/>
  <c r="G7" i="102" s="1"/>
  <c r="H6" i="102"/>
  <c r="F6" i="102" s="1"/>
  <c r="G6" i="102" s="1"/>
  <c r="H5" i="102"/>
  <c r="F5" i="102" s="1"/>
  <c r="G5" i="102" s="1"/>
  <c r="H4" i="102"/>
  <c r="F4" i="102" s="1"/>
  <c r="G4" i="102" s="1"/>
  <c r="H3" i="102"/>
  <c r="F3" i="102" s="1"/>
  <c r="G3" i="102" s="1"/>
  <c r="H2" i="102"/>
  <c r="F2" i="102" s="1"/>
  <c r="G2" i="102" s="1"/>
  <c r="F2" i="101"/>
  <c r="G2" i="101" s="1"/>
  <c r="G3" i="101" s="1"/>
  <c r="G4" i="101" s="1"/>
  <c r="G5" i="101" s="1"/>
  <c r="F3" i="100"/>
  <c r="F2" i="100"/>
  <c r="G2" i="100" s="1"/>
  <c r="G5" i="100" s="1"/>
  <c r="F4" i="100"/>
  <c r="I3" i="94"/>
  <c r="F3" i="94" s="1"/>
  <c r="F2" i="94"/>
  <c r="F2" i="99"/>
  <c r="G2" i="99" s="1"/>
  <c r="G3" i="99" s="1"/>
  <c r="G4" i="99" s="1"/>
  <c r="G5" i="99" s="1"/>
  <c r="J2" i="98"/>
  <c r="F2" i="98"/>
  <c r="G2" i="98" s="1"/>
  <c r="G2" i="97"/>
  <c r="G3" i="97"/>
  <c r="F4" i="93"/>
  <c r="G4" i="93" s="1"/>
  <c r="F2" i="96"/>
  <c r="G2" i="96" s="1"/>
  <c r="G3" i="96" s="1"/>
  <c r="G4" i="96" s="1"/>
  <c r="G5" i="96" s="1"/>
  <c r="F4" i="94"/>
  <c r="F2" i="95"/>
  <c r="G9" i="102" l="1"/>
  <c r="G10" i="102" s="1"/>
  <c r="G11" i="102" s="1"/>
  <c r="G11" i="104"/>
  <c r="G12" i="104" s="1"/>
  <c r="G13" i="104" s="1"/>
  <c r="G39" i="107"/>
  <c r="G40" i="107" s="1"/>
  <c r="G6" i="100"/>
  <c r="G7" i="100" s="1"/>
  <c r="G2" i="94"/>
  <c r="H2" i="94" s="1"/>
  <c r="G3" i="98"/>
  <c r="G4" i="98" s="1"/>
  <c r="G5" i="98" s="1"/>
  <c r="G4" i="97"/>
  <c r="G5" i="97" s="1"/>
  <c r="G6" i="97" s="1"/>
  <c r="G4" i="94"/>
  <c r="H4" i="94" s="1"/>
  <c r="G3" i="95"/>
  <c r="G2" i="95"/>
  <c r="F2" i="93"/>
  <c r="G2" i="93" s="1"/>
  <c r="F3" i="93"/>
  <c r="G3" i="93" s="1"/>
  <c r="F2" i="92"/>
  <c r="G2" i="92" s="1"/>
  <c r="F3" i="92"/>
  <c r="G3" i="92" s="1"/>
  <c r="G5" i="93" l="1"/>
  <c r="G6" i="93" s="1"/>
  <c r="G7" i="93" s="1"/>
  <c r="G4" i="95"/>
  <c r="G5" i="95" s="1"/>
  <c r="G6" i="95" s="1"/>
  <c r="G4" i="92"/>
  <c r="G5" i="92" s="1"/>
  <c r="G6" i="92" s="1"/>
  <c r="F3" i="70"/>
  <c r="F4" i="70"/>
  <c r="F2" i="70"/>
  <c r="K4" i="70"/>
  <c r="K3" i="70"/>
  <c r="K2" i="70"/>
  <c r="G3" i="91" l="1"/>
  <c r="G4" i="91"/>
  <c r="G5" i="91"/>
  <c r="G6" i="91"/>
  <c r="G7" i="91"/>
  <c r="G8" i="91"/>
  <c r="G9" i="91"/>
  <c r="G10" i="91"/>
  <c r="G11" i="91"/>
  <c r="G12" i="91"/>
  <c r="G13" i="91"/>
  <c r="G14" i="91"/>
  <c r="G15" i="91"/>
  <c r="G16" i="91"/>
  <c r="G17" i="91"/>
  <c r="G2" i="91"/>
  <c r="G18" i="91" l="1"/>
  <c r="G19" i="91" s="1"/>
  <c r="G20" i="91" s="1"/>
  <c r="F2" i="90"/>
  <c r="G2" i="90" s="1"/>
  <c r="F4" i="90"/>
  <c r="G4" i="90" s="1"/>
  <c r="F3" i="90"/>
  <c r="G3" i="90" s="1"/>
  <c r="F7" i="90"/>
  <c r="G7" i="90" s="1"/>
  <c r="F6" i="90"/>
  <c r="G6" i="90" s="1"/>
  <c r="F5" i="90"/>
  <c r="G5" i="90" s="1"/>
  <c r="H8" i="89"/>
  <c r="F8" i="89" s="1"/>
  <c r="G8" i="89" s="1"/>
  <c r="F9" i="89"/>
  <c r="G9" i="89" s="1"/>
  <c r="H7" i="89"/>
  <c r="F7" i="89" s="1"/>
  <c r="G7" i="89" s="1"/>
  <c r="H6" i="89"/>
  <c r="F6" i="89" s="1"/>
  <c r="G6" i="89" s="1"/>
  <c r="H5" i="89"/>
  <c r="F5" i="89" s="1"/>
  <c r="G5" i="89" s="1"/>
  <c r="H4" i="89"/>
  <c r="F4" i="89" s="1"/>
  <c r="G4" i="89" s="1"/>
  <c r="H3" i="89"/>
  <c r="F3" i="89" s="1"/>
  <c r="G3" i="89" s="1"/>
  <c r="H2" i="89"/>
  <c r="F2" i="89" s="1"/>
  <c r="G2" i="89" s="1"/>
  <c r="F3" i="79"/>
  <c r="G3" i="79" s="1"/>
  <c r="G14" i="87"/>
  <c r="G13" i="87"/>
  <c r="G12" i="87"/>
  <c r="G8" i="87"/>
  <c r="G7" i="87"/>
  <c r="G39" i="87"/>
  <c r="G38" i="87"/>
  <c r="F36" i="87"/>
  <c r="G36" i="87" s="1"/>
  <c r="F35" i="87"/>
  <c r="G35" i="87" s="1"/>
  <c r="F34" i="87"/>
  <c r="G34" i="87" s="1"/>
  <c r="F33" i="87"/>
  <c r="G33" i="87" s="1"/>
  <c r="F32" i="87"/>
  <c r="G32" i="87" s="1"/>
  <c r="F31" i="87"/>
  <c r="G31" i="87" s="1"/>
  <c r="F30" i="87"/>
  <c r="G30" i="87" s="1"/>
  <c r="F28" i="87"/>
  <c r="G28" i="87" s="1"/>
  <c r="G23" i="87"/>
  <c r="G22" i="87"/>
  <c r="F20" i="87"/>
  <c r="G20" i="87" s="1"/>
  <c r="G17" i="87"/>
  <c r="G3" i="87"/>
  <c r="G8" i="90" l="1"/>
  <c r="G9" i="90" s="1"/>
  <c r="G10" i="90" s="1"/>
  <c r="G10" i="89"/>
  <c r="G11" i="89" s="1"/>
  <c r="G12" i="89" s="1"/>
  <c r="G43" i="87"/>
  <c r="G44" i="87" s="1"/>
  <c r="G45" i="87" s="1"/>
  <c r="F2" i="86"/>
  <c r="G2" i="86" s="1"/>
  <c r="G3" i="86" s="1"/>
  <c r="G4" i="86" s="1"/>
  <c r="G5" i="86" s="1"/>
  <c r="H3" i="85"/>
  <c r="F3" i="85" s="1"/>
  <c r="G3" i="85" s="1"/>
  <c r="H2" i="85"/>
  <c r="F2" i="85" s="1"/>
  <c r="G2" i="85" s="1"/>
  <c r="I3" i="85"/>
  <c r="I2" i="85"/>
  <c r="J2" i="84"/>
  <c r="F2" i="84"/>
  <c r="G2" i="84" s="1"/>
  <c r="G3" i="84" s="1"/>
  <c r="G4" i="84" s="1"/>
  <c r="G5" i="84" s="1"/>
  <c r="F9" i="83"/>
  <c r="G9" i="83" s="1"/>
  <c r="F8" i="83"/>
  <c r="G8" i="83" s="1"/>
  <c r="G7" i="83"/>
  <c r="G6" i="83"/>
  <c r="G5" i="83"/>
  <c r="G4" i="83"/>
  <c r="F3" i="83"/>
  <c r="G3" i="83" s="1"/>
  <c r="G2" i="83"/>
  <c r="F3" i="80"/>
  <c r="G3" i="80" s="1"/>
  <c r="G4" i="80" s="1"/>
  <c r="G5" i="80" s="1"/>
  <c r="G6" i="80" s="1"/>
  <c r="I3" i="80"/>
  <c r="F2" i="80"/>
  <c r="G2" i="80" s="1"/>
  <c r="F2" i="82"/>
  <c r="G2" i="82" s="1"/>
  <c r="G3" i="82" s="1"/>
  <c r="G4" i="82" s="1"/>
  <c r="G5" i="82" s="1"/>
  <c r="H2" i="81"/>
  <c r="F2" i="81" s="1"/>
  <c r="F2" i="79"/>
  <c r="G2" i="79" s="1"/>
  <c r="F4" i="79"/>
  <c r="G4" i="79" s="1"/>
  <c r="F2" i="78"/>
  <c r="G2" i="78" s="1"/>
  <c r="G3" i="78" s="1"/>
  <c r="G4" i="78" s="1"/>
  <c r="G5" i="78" s="1"/>
  <c r="H2" i="77"/>
  <c r="F2" i="77" s="1"/>
  <c r="G2" i="77" s="1"/>
  <c r="G3" i="77" s="1"/>
  <c r="G4" i="77" s="1"/>
  <c r="G5" i="77" s="1"/>
  <c r="G3" i="76"/>
  <c r="F2" i="76"/>
  <c r="G2" i="76" s="1"/>
  <c r="F3" i="75"/>
  <c r="G3" i="75" s="1"/>
  <c r="G4" i="75" s="1"/>
  <c r="G5" i="75" s="1"/>
  <c r="G6" i="75" s="1"/>
  <c r="F2" i="74"/>
  <c r="G2" i="74" s="1"/>
  <c r="G3" i="74" s="1"/>
  <c r="G4" i="74" s="1"/>
  <c r="G5" i="74" s="1"/>
  <c r="J2" i="74"/>
  <c r="F3" i="73"/>
  <c r="G3" i="73" s="1"/>
  <c r="F2" i="73"/>
  <c r="G2" i="73" s="1"/>
  <c r="F4" i="73"/>
  <c r="G4" i="73" s="1"/>
  <c r="G5" i="79" l="1"/>
  <c r="G6" i="79" s="1"/>
  <c r="G7" i="79" s="1"/>
  <c r="G4" i="85"/>
  <c r="G5" i="85" s="1"/>
  <c r="G6" i="85" s="1"/>
  <c r="G10" i="83"/>
  <c r="G11" i="83" s="1"/>
  <c r="G12" i="83" s="1"/>
  <c r="G2" i="81"/>
  <c r="G3" i="81" s="1"/>
  <c r="G4" i="81" s="1"/>
  <c r="G5" i="81" s="1"/>
  <c r="G4" i="76"/>
  <c r="G5" i="76" s="1"/>
  <c r="G6" i="76" s="1"/>
  <c r="G5" i="73"/>
  <c r="G6" i="73" s="1"/>
  <c r="G7" i="73" s="1"/>
  <c r="F2" i="72" l="1"/>
  <c r="G2" i="72" s="1"/>
  <c r="G3" i="72" s="1"/>
  <c r="F3" i="71"/>
  <c r="G3" i="71" s="1"/>
  <c r="F2" i="71"/>
  <c r="G2" i="71" s="1"/>
  <c r="G4" i="70"/>
  <c r="G3" i="70"/>
  <c r="G2" i="70"/>
  <c r="G3" i="68"/>
  <c r="G4" i="71" l="1"/>
  <c r="G5" i="71" s="1"/>
  <c r="G6" i="71" s="1"/>
  <c r="G5" i="70"/>
  <c r="G6" i="70" s="1"/>
  <c r="G7" i="70" s="1"/>
  <c r="G4" i="72"/>
  <c r="G5" i="72" s="1"/>
  <c r="F4" i="69"/>
  <c r="G4" i="69" s="1"/>
  <c r="F3" i="69"/>
  <c r="G3" i="69" s="1"/>
  <c r="F2" i="69"/>
  <c r="G2" i="69" s="1"/>
  <c r="F2" i="68"/>
  <c r="G2" i="68" s="1"/>
  <c r="G4" i="68" s="1"/>
  <c r="G5" i="68" s="1"/>
  <c r="G6" i="68" s="1"/>
  <c r="F2" i="67"/>
  <c r="G2" i="67" s="1"/>
  <c r="G3" i="67" s="1"/>
  <c r="G4" i="67" s="1"/>
  <c r="G5" i="67" s="1"/>
  <c r="F2" i="66"/>
  <c r="G2" i="66" s="1"/>
  <c r="G3" i="66" s="1"/>
  <c r="G4" i="66" s="1"/>
  <c r="G5" i="66" s="1"/>
  <c r="I2" i="65"/>
  <c r="F2" i="65" s="1"/>
  <c r="I3" i="64"/>
  <c r="F3" i="64" s="1"/>
  <c r="G3" i="64" s="1"/>
  <c r="I4" i="64"/>
  <c r="F4" i="64" s="1"/>
  <c r="G4" i="64" s="1"/>
  <c r="H4" i="64" s="1"/>
  <c r="I5" i="64"/>
  <c r="F5" i="64" s="1"/>
  <c r="G5" i="64" s="1"/>
  <c r="I6" i="64"/>
  <c r="F6" i="64" s="1"/>
  <c r="I7" i="64"/>
  <c r="F7" i="64" s="1"/>
  <c r="I8" i="64"/>
  <c r="F8" i="64" s="1"/>
  <c r="I9" i="64"/>
  <c r="F9" i="64" s="1"/>
  <c r="G9" i="64" s="1"/>
  <c r="H9" i="64" s="1"/>
  <c r="I2" i="64"/>
  <c r="F2" i="64" s="1"/>
  <c r="F3" i="63"/>
  <c r="G3" i="63" s="1"/>
  <c r="F2" i="63"/>
  <c r="G2" i="63" s="1"/>
  <c r="I3" i="63"/>
  <c r="I2" i="63"/>
  <c r="I5" i="62"/>
  <c r="F5" i="62" s="1"/>
  <c r="I3" i="62"/>
  <c r="F3" i="62" s="1"/>
  <c r="I2" i="62"/>
  <c r="F2" i="62" s="1"/>
  <c r="F4" i="62"/>
  <c r="F6" i="62"/>
  <c r="F7" i="62"/>
  <c r="G5" i="69" l="1"/>
  <c r="G6" i="69" s="1"/>
  <c r="G7" i="69" s="1"/>
  <c r="G2" i="65"/>
  <c r="H2" i="65" s="1"/>
  <c r="H5" i="64"/>
  <c r="H3" i="64"/>
  <c r="G2" i="64"/>
  <c r="H2" i="64" s="1"/>
  <c r="G7" i="64"/>
  <c r="H7" i="64" s="1"/>
  <c r="G6" i="64"/>
  <c r="H6" i="64" s="1"/>
  <c r="G8" i="64"/>
  <c r="H8" i="64" s="1"/>
  <c r="G4" i="63"/>
  <c r="G5" i="63" s="1"/>
  <c r="G6" i="63" s="1"/>
  <c r="G7" i="62"/>
  <c r="H7" i="62" s="1"/>
  <c r="G6" i="62"/>
  <c r="H6" i="62" s="1"/>
  <c r="G5" i="62"/>
  <c r="H5" i="62" s="1"/>
  <c r="G4" i="62"/>
  <c r="H4" i="62" s="1"/>
  <c r="G3" i="62"/>
  <c r="H3" i="62" s="1"/>
  <c r="G2" i="62"/>
  <c r="H2" i="62" s="1"/>
  <c r="H10" i="64" l="1"/>
  <c r="H3" i="65"/>
  <c r="H8" i="62"/>
  <c r="F2" i="61" l="1"/>
  <c r="F2" i="60"/>
  <c r="G2" i="60" s="1"/>
  <c r="F7" i="50"/>
  <c r="F3" i="50"/>
  <c r="N7" i="50"/>
  <c r="M10" i="50"/>
  <c r="M9" i="50"/>
  <c r="M8" i="50"/>
  <c r="M6" i="50"/>
  <c r="M5" i="50"/>
  <c r="M4" i="50"/>
  <c r="M3" i="50"/>
  <c r="M2" i="50"/>
  <c r="L10" i="50"/>
  <c r="L9" i="50"/>
  <c r="L8" i="50"/>
  <c r="F2" i="59"/>
  <c r="G13" i="41"/>
  <c r="G12" i="41"/>
  <c r="G11" i="41"/>
  <c r="G10" i="41"/>
  <c r="G9" i="41"/>
  <c r="G2" i="41"/>
  <c r="F3" i="58"/>
  <c r="G3" i="58" s="1"/>
  <c r="H3" i="58" s="1"/>
  <c r="F4" i="58"/>
  <c r="F5" i="58"/>
  <c r="G5" i="58" s="1"/>
  <c r="H5" i="58" s="1"/>
  <c r="F6" i="58"/>
  <c r="G6" i="58" s="1"/>
  <c r="H6" i="58" s="1"/>
  <c r="F7" i="58"/>
  <c r="G7" i="58" s="1"/>
  <c r="H7" i="58" s="1"/>
  <c r="F8" i="58"/>
  <c r="G8" i="58" s="1"/>
  <c r="H8" i="58" s="1"/>
  <c r="F9" i="58"/>
  <c r="G9" i="58" s="1"/>
  <c r="H9" i="58" s="1"/>
  <c r="F10" i="58"/>
  <c r="G10" i="58" s="1"/>
  <c r="H10" i="58" s="1"/>
  <c r="F11" i="58"/>
  <c r="G11" i="58" s="1"/>
  <c r="H11" i="58" s="1"/>
  <c r="F12" i="58"/>
  <c r="F13" i="58"/>
  <c r="G13" i="58" s="1"/>
  <c r="H13" i="58" s="1"/>
  <c r="F2" i="58"/>
  <c r="F4" i="49"/>
  <c r="F7" i="49"/>
  <c r="F8" i="49"/>
  <c r="G6" i="49"/>
  <c r="H6" i="49" s="1"/>
  <c r="G4" i="58" l="1"/>
  <c r="H4" i="58" s="1"/>
  <c r="G2" i="61"/>
  <c r="H2" i="61" s="1"/>
  <c r="H3" i="61" s="1"/>
  <c r="H2" i="60"/>
  <c r="H3" i="60" s="1"/>
  <c r="G2" i="59"/>
  <c r="H2" i="59" s="1"/>
  <c r="H3" i="59" s="1"/>
  <c r="G2" i="58"/>
  <c r="H2" i="58" s="1"/>
  <c r="G12" i="58"/>
  <c r="H12" i="58" s="1"/>
  <c r="H14" i="58" l="1"/>
  <c r="G2" i="49"/>
  <c r="H2" i="49" s="1"/>
  <c r="G3" i="49"/>
  <c r="H3" i="49" s="1"/>
  <c r="F3" i="57"/>
  <c r="F2" i="57"/>
  <c r="G2" i="57" s="1"/>
  <c r="F2" i="56"/>
  <c r="G2" i="56" s="1"/>
  <c r="F2" i="55"/>
  <c r="F3" i="54"/>
  <c r="F2" i="53"/>
  <c r="H2" i="57" l="1"/>
  <c r="G3" i="57"/>
  <c r="H3" i="57" s="1"/>
  <c r="H2" i="56"/>
  <c r="H3" i="56" s="1"/>
  <c r="G2" i="55"/>
  <c r="H2" i="55" s="1"/>
  <c r="H3" i="55" s="1"/>
  <c r="G3" i="54"/>
  <c r="H3" i="54" s="1"/>
  <c r="G2" i="53"/>
  <c r="H2" i="53" s="1"/>
  <c r="H3" i="53" s="1"/>
  <c r="F5" i="52"/>
  <c r="G5" i="52" s="1"/>
  <c r="F4" i="52"/>
  <c r="G4" i="52" s="1"/>
  <c r="H4" i="52" s="1"/>
  <c r="F3" i="52"/>
  <c r="G3" i="52" s="1"/>
  <c r="F2" i="52"/>
  <c r="F3" i="51"/>
  <c r="G3" i="51" s="1"/>
  <c r="H3" i="51" s="1"/>
  <c r="F4" i="51"/>
  <c r="F5" i="51"/>
  <c r="G5" i="51" s="1"/>
  <c r="H5" i="51" s="1"/>
  <c r="F2" i="51"/>
  <c r="G2" i="51" s="1"/>
  <c r="H2" i="51" s="1"/>
  <c r="G3" i="50"/>
  <c r="H3" i="50" s="1"/>
  <c r="H4" i="57" l="1"/>
  <c r="H4" i="54"/>
  <c r="H3" i="52"/>
  <c r="G2" i="52"/>
  <c r="H2" i="52" s="1"/>
  <c r="G4" i="51"/>
  <c r="H4" i="51" s="1"/>
  <c r="H6" i="51" s="1"/>
  <c r="F4" i="50"/>
  <c r="F5" i="50"/>
  <c r="F6" i="50"/>
  <c r="F8" i="50"/>
  <c r="G8" i="50" s="1"/>
  <c r="F9" i="50"/>
  <c r="F10" i="50"/>
  <c r="F2" i="50"/>
  <c r="H6" i="52" l="1"/>
  <c r="H8" i="50"/>
  <c r="G7" i="50"/>
  <c r="H7" i="50" s="1"/>
  <c r="G6" i="50"/>
  <c r="H6" i="50" s="1"/>
  <c r="G4" i="50"/>
  <c r="H4" i="50" s="1"/>
  <c r="G2" i="50"/>
  <c r="H2" i="50" s="1"/>
  <c r="G10" i="50"/>
  <c r="H10" i="50" s="1"/>
  <c r="G5" i="50"/>
  <c r="H5" i="50" s="1"/>
  <c r="G9" i="50"/>
  <c r="H9" i="50" s="1"/>
  <c r="G4" i="49"/>
  <c r="H4" i="49" s="1"/>
  <c r="G7" i="49"/>
  <c r="H7" i="49" s="1"/>
  <c r="G8" i="49"/>
  <c r="H8" i="49" s="1"/>
  <c r="F2" i="48"/>
  <c r="G2" i="48" s="1"/>
  <c r="H2" i="48" s="1"/>
  <c r="H3" i="48" s="1"/>
  <c r="F2" i="46"/>
  <c r="K2" i="46"/>
  <c r="F2" i="45"/>
  <c r="I2" i="44"/>
  <c r="F2" i="44" s="1"/>
  <c r="G2" i="44" s="1"/>
  <c r="F3" i="43"/>
  <c r="F2" i="42"/>
  <c r="G2" i="42" s="1"/>
  <c r="H2" i="42" s="1"/>
  <c r="H9" i="41"/>
  <c r="I9" i="41" s="1"/>
  <c r="H11" i="41"/>
  <c r="H12" i="41"/>
  <c r="I12" i="41" s="1"/>
  <c r="J2" i="34"/>
  <c r="F2" i="40"/>
  <c r="F2" i="39"/>
  <c r="F2" i="38"/>
  <c r="F2" i="37"/>
  <c r="G2" i="37" s="1"/>
  <c r="F2" i="36"/>
  <c r="G2" i="36" s="1"/>
  <c r="F3" i="33"/>
  <c r="G3" i="33" s="1"/>
  <c r="F4" i="33"/>
  <c r="F5" i="33"/>
  <c r="G5" i="33" s="1"/>
  <c r="F6" i="33"/>
  <c r="G6" i="33" s="1"/>
  <c r="F7" i="33"/>
  <c r="F2" i="33"/>
  <c r="G2" i="33" s="1"/>
  <c r="H2" i="33" s="1"/>
  <c r="L3" i="18"/>
  <c r="L4" i="18"/>
  <c r="L5" i="18"/>
  <c r="L6" i="18"/>
  <c r="L7" i="18"/>
  <c r="L8" i="18"/>
  <c r="L9" i="18"/>
  <c r="L10" i="18"/>
  <c r="L11" i="18"/>
  <c r="L12" i="18"/>
  <c r="L13" i="18"/>
  <c r="L14" i="18"/>
  <c r="L15" i="18"/>
  <c r="L16" i="18"/>
  <c r="L17" i="18"/>
  <c r="L18" i="18"/>
  <c r="L19" i="18"/>
  <c r="L20" i="18"/>
  <c r="L21" i="18"/>
  <c r="L22" i="18"/>
  <c r="L23" i="18"/>
  <c r="L24" i="18"/>
  <c r="L25" i="18"/>
  <c r="L2" i="18"/>
  <c r="F2" i="21"/>
  <c r="F3" i="35"/>
  <c r="G3" i="35" s="1"/>
  <c r="F2" i="35"/>
  <c r="G2" i="35" s="1"/>
  <c r="N6" i="21"/>
  <c r="O6" i="21" s="1"/>
  <c r="N7" i="21"/>
  <c r="O7" i="21" s="1"/>
  <c r="N8" i="21"/>
  <c r="O8" i="21" s="1"/>
  <c r="N9" i="21"/>
  <c r="O9" i="21" s="1"/>
  <c r="N10" i="21"/>
  <c r="O10" i="21" s="1"/>
  <c r="N11" i="21"/>
  <c r="O11" i="21" s="1"/>
  <c r="N12" i="21"/>
  <c r="O12" i="21" s="1"/>
  <c r="N13" i="21"/>
  <c r="O13" i="21" s="1"/>
  <c r="N14" i="21"/>
  <c r="O14" i="21" s="1"/>
  <c r="N3" i="21"/>
  <c r="O3" i="21" s="1"/>
  <c r="N2" i="21"/>
  <c r="H3" i="18"/>
  <c r="H4" i="18"/>
  <c r="H5" i="18"/>
  <c r="H6" i="18"/>
  <c r="H7" i="18"/>
  <c r="H8" i="18"/>
  <c r="H9" i="18"/>
  <c r="H10" i="18"/>
  <c r="H11" i="18"/>
  <c r="H12" i="18"/>
  <c r="H13" i="18"/>
  <c r="H14" i="18"/>
  <c r="H15" i="18"/>
  <c r="H16" i="18"/>
  <c r="H17" i="18"/>
  <c r="H18" i="18"/>
  <c r="H19" i="18"/>
  <c r="H20" i="18"/>
  <c r="H21" i="18"/>
  <c r="H22" i="18"/>
  <c r="H23" i="18"/>
  <c r="H24" i="18"/>
  <c r="H25" i="18"/>
  <c r="H2" i="18"/>
  <c r="F3" i="34"/>
  <c r="G3" i="34" s="1"/>
  <c r="F2" i="34"/>
  <c r="G2" i="34" s="1"/>
  <c r="F2" i="32"/>
  <c r="G2" i="32" s="1"/>
  <c r="G3" i="32" s="1"/>
  <c r="G4" i="32" s="1"/>
  <c r="G5" i="32" s="1"/>
  <c r="F3" i="31"/>
  <c r="G3" i="31" s="1"/>
  <c r="F2" i="31"/>
  <c r="G2" i="31" s="1"/>
  <c r="K2" i="30"/>
  <c r="F2" i="30"/>
  <c r="G2" i="30" s="1"/>
  <c r="K3" i="30"/>
  <c r="F3" i="30"/>
  <c r="G3" i="30" s="1"/>
  <c r="F2" i="29"/>
  <c r="G2" i="29" s="1"/>
  <c r="G3" i="29" s="1"/>
  <c r="G4" i="29" s="1"/>
  <c r="G5" i="29" s="1"/>
  <c r="K2" i="29"/>
  <c r="F2" i="28"/>
  <c r="G2" i="28" s="1"/>
  <c r="G3" i="28" s="1"/>
  <c r="G4" i="28" s="1"/>
  <c r="G5" i="28" s="1"/>
  <c r="K2" i="27"/>
  <c r="F2" i="27"/>
  <c r="G2" i="27" s="1"/>
  <c r="G3" i="27" s="1"/>
  <c r="G4" i="27" s="1"/>
  <c r="G5" i="27" s="1"/>
  <c r="F3" i="26"/>
  <c r="G3" i="26" s="1"/>
  <c r="F2" i="26"/>
  <c r="G2" i="26" s="1"/>
  <c r="J7" i="24"/>
  <c r="J4" i="24"/>
  <c r="J3" i="24"/>
  <c r="J2" i="24"/>
  <c r="F10" i="25"/>
  <c r="G10" i="25" s="1"/>
  <c r="F9" i="25"/>
  <c r="G9" i="25" s="1"/>
  <c r="F8" i="25"/>
  <c r="G8" i="25" s="1"/>
  <c r="F7" i="25"/>
  <c r="G7" i="25" s="1"/>
  <c r="F5" i="25"/>
  <c r="G5" i="25" s="1"/>
  <c r="G4" i="30" l="1"/>
  <c r="G5" i="30" s="1"/>
  <c r="G6" i="30" s="1"/>
  <c r="L26" i="18"/>
  <c r="O2" i="21"/>
  <c r="H11" i="50"/>
  <c r="G5" i="49"/>
  <c r="H5" i="49" s="1"/>
  <c r="G2" i="47"/>
  <c r="H2" i="47" s="1"/>
  <c r="H3" i="47" s="1"/>
  <c r="G2" i="46"/>
  <c r="H2" i="46" s="1"/>
  <c r="H3" i="46" s="1"/>
  <c r="G2" i="45"/>
  <c r="H2" i="45" s="1"/>
  <c r="H3" i="45" s="1"/>
  <c r="H2" i="44"/>
  <c r="H3" i="44" s="1"/>
  <c r="G3" i="43"/>
  <c r="H3" i="43" s="1"/>
  <c r="H4" i="43" s="1"/>
  <c r="H2" i="41"/>
  <c r="I2" i="41" s="1"/>
  <c r="H10" i="41"/>
  <c r="I10" i="41" s="1"/>
  <c r="H13" i="41"/>
  <c r="I13" i="41" s="1"/>
  <c r="I11" i="41"/>
  <c r="G2" i="40"/>
  <c r="H2" i="40" s="1"/>
  <c r="H3" i="40" s="1"/>
  <c r="G2" i="39"/>
  <c r="H2" i="39" s="1"/>
  <c r="H3" i="39" s="1"/>
  <c r="G2" i="38"/>
  <c r="H2" i="38" s="1"/>
  <c r="H3" i="38" s="1"/>
  <c r="H2" i="37"/>
  <c r="H3" i="37" s="1"/>
  <c r="G3" i="36"/>
  <c r="G4" i="36" s="1"/>
  <c r="G5" i="36" s="1"/>
  <c r="H5" i="33"/>
  <c r="H6" i="33"/>
  <c r="H3" i="33"/>
  <c r="G4" i="33"/>
  <c r="H4" i="33" s="1"/>
  <c r="G7" i="33"/>
  <c r="H7" i="33" s="1"/>
  <c r="G4" i="35"/>
  <c r="G5" i="35" s="1"/>
  <c r="G6" i="35" s="1"/>
  <c r="G4" i="34"/>
  <c r="G5" i="34" s="1"/>
  <c r="G6" i="34" s="1"/>
  <c r="G4" i="31"/>
  <c r="G5" i="31" s="1"/>
  <c r="G6" i="31" s="1"/>
  <c r="G4" i="26"/>
  <c r="G5" i="26" s="1"/>
  <c r="G6" i="26" s="1"/>
  <c r="G11" i="25"/>
  <c r="G12" i="25" s="1"/>
  <c r="G13" i="25" s="1"/>
  <c r="F7" i="24"/>
  <c r="G7" i="24" s="1"/>
  <c r="F6" i="24"/>
  <c r="G6" i="24" s="1"/>
  <c r="F5" i="24"/>
  <c r="G5" i="24" s="1"/>
  <c r="F4" i="24"/>
  <c r="G4" i="24" s="1"/>
  <c r="F3" i="24"/>
  <c r="G3" i="24" s="1"/>
  <c r="F2" i="24"/>
  <c r="G2" i="24" s="1"/>
  <c r="F2" i="23"/>
  <c r="G2" i="23" s="1"/>
  <c r="G3" i="23" s="1"/>
  <c r="G4" i="23" s="1"/>
  <c r="G5" i="23" s="1"/>
  <c r="I3" i="22"/>
  <c r="I2" i="22"/>
  <c r="F3" i="22"/>
  <c r="G3" i="22" s="1"/>
  <c r="F2" i="22"/>
  <c r="G2" i="22" s="1"/>
  <c r="I3" i="21"/>
  <c r="G3" i="21" s="1"/>
  <c r="G2" i="21"/>
  <c r="G14" i="21"/>
  <c r="G13" i="21"/>
  <c r="G12" i="21"/>
  <c r="G11" i="21"/>
  <c r="G10" i="21"/>
  <c r="G9" i="21"/>
  <c r="G8" i="21"/>
  <c r="G7" i="21"/>
  <c r="G6" i="21"/>
  <c r="F5" i="21"/>
  <c r="F4" i="21"/>
  <c r="I14" i="41" l="1"/>
  <c r="H9" i="49"/>
  <c r="H3" i="42"/>
  <c r="H8" i="33"/>
  <c r="G5" i="21"/>
  <c r="N5" i="21"/>
  <c r="O5" i="21" s="1"/>
  <c r="G4" i="21"/>
  <c r="N4" i="21"/>
  <c r="O4" i="21" s="1"/>
  <c r="G8" i="24"/>
  <c r="G9" i="24" s="1"/>
  <c r="G10" i="24" s="1"/>
  <c r="G4" i="22"/>
  <c r="G5" i="22" s="1"/>
  <c r="G6" i="22" s="1"/>
  <c r="G18" i="18"/>
  <c r="G16" i="18"/>
  <c r="G14" i="18"/>
  <c r="G12" i="18"/>
  <c r="G11" i="18"/>
  <c r="G10" i="18"/>
  <c r="G9" i="18"/>
  <c r="G6" i="18"/>
  <c r="G5" i="18"/>
  <c r="G4" i="18"/>
  <c r="G3" i="18"/>
  <c r="G2" i="18"/>
  <c r="G17" i="18"/>
  <c r="G15" i="18"/>
  <c r="G13" i="18"/>
  <c r="G8" i="18"/>
  <c r="G7" i="18"/>
  <c r="G25" i="18"/>
  <c r="G24" i="18"/>
  <c r="G23" i="18"/>
  <c r="G22" i="18"/>
  <c r="G21" i="18"/>
  <c r="G20" i="18"/>
  <c r="G19" i="18"/>
  <c r="G15" i="21" l="1"/>
  <c r="G26" i="18"/>
  <c r="G27" i="18" s="1"/>
  <c r="G28" i="18" s="1"/>
  <c r="G16" i="21" l="1"/>
  <c r="G17" i="21" s="1"/>
  <c r="I15" i="21"/>
  <c r="F13" i="17"/>
  <c r="G13" i="17" s="1"/>
  <c r="F12" i="17"/>
  <c r="G12" i="17" s="1"/>
  <c r="F6" i="17"/>
  <c r="G6" i="17" s="1"/>
  <c r="F4" i="17"/>
  <c r="G4" i="17" s="1"/>
  <c r="F2" i="17"/>
  <c r="G2" i="17" s="1"/>
  <c r="F9" i="17"/>
  <c r="G9" i="17" s="1"/>
  <c r="F8" i="17"/>
  <c r="G8" i="17" s="1"/>
  <c r="F7" i="17"/>
  <c r="G7" i="17" s="1"/>
  <c r="F5" i="17"/>
  <c r="G5" i="17" s="1"/>
  <c r="F3" i="17"/>
  <c r="G3" i="17" s="1"/>
  <c r="F11" i="17"/>
  <c r="G11" i="17" s="1"/>
  <c r="F10" i="17"/>
  <c r="G10" i="17" s="1"/>
  <c r="G4" i="16"/>
  <c r="G5" i="16"/>
  <c r="F3" i="16"/>
  <c r="G3" i="16" s="1"/>
  <c r="G2" i="16"/>
  <c r="I8" i="16"/>
  <c r="I9" i="16" s="1"/>
  <c r="I5" i="15"/>
  <c r="I6" i="15" s="1"/>
  <c r="F2" i="15"/>
  <c r="G2" i="15" s="1"/>
  <c r="G3" i="15" s="1"/>
  <c r="G4" i="15" s="1"/>
  <c r="G5" i="15" s="1"/>
  <c r="I5" i="13"/>
  <c r="I6" i="13" s="1"/>
  <c r="Q11" i="14"/>
  <c r="R11" i="14" s="1"/>
  <c r="Q10" i="14"/>
  <c r="R10" i="14" s="1"/>
  <c r="Q9" i="14"/>
  <c r="Q8" i="14"/>
  <c r="Q7" i="14"/>
  <c r="R7" i="14" s="1"/>
  <c r="Q6" i="14"/>
  <c r="R6" i="14" s="1"/>
  <c r="Q16" i="14"/>
  <c r="R16" i="14" s="1"/>
  <c r="Q15" i="14"/>
  <c r="R15" i="14" s="1"/>
  <c r="Q14" i="14"/>
  <c r="R14" i="14" s="1"/>
  <c r="Q13" i="14"/>
  <c r="P13" i="14" s="1"/>
  <c r="Q12" i="14"/>
  <c r="R12" i="14" s="1"/>
  <c r="Q4" i="14"/>
  <c r="R4" i="14" s="1"/>
  <c r="Q5" i="14"/>
  <c r="R5" i="14" s="1"/>
  <c r="Q3" i="14"/>
  <c r="R3" i="14" s="1"/>
  <c r="K2" i="12"/>
  <c r="P16" i="14"/>
  <c r="P15" i="14"/>
  <c r="P12" i="14"/>
  <c r="P11" i="14"/>
  <c r="P10" i="14"/>
  <c r="P9" i="14"/>
  <c r="P8" i="14"/>
  <c r="P7" i="14"/>
  <c r="P6" i="14"/>
  <c r="P4" i="14"/>
  <c r="H16" i="14"/>
  <c r="H15" i="14"/>
  <c r="H14" i="14"/>
  <c r="H13" i="14"/>
  <c r="H12" i="14"/>
  <c r="H11" i="14"/>
  <c r="H10" i="14"/>
  <c r="H7" i="14"/>
  <c r="H6" i="14"/>
  <c r="H5" i="14"/>
  <c r="H4" i="14"/>
  <c r="H3" i="14"/>
  <c r="G6" i="16" l="1"/>
  <c r="G7" i="16" s="1"/>
  <c r="G8" i="16" s="1"/>
  <c r="G14" i="17"/>
  <c r="G15" i="17" s="1"/>
  <c r="G16" i="17" s="1"/>
  <c r="G17" i="14"/>
  <c r="G18" i="14" s="1"/>
  <c r="G19" i="14" s="1"/>
  <c r="P14" i="14"/>
  <c r="R13" i="14"/>
  <c r="F2" i="13"/>
  <c r="G2" i="13" s="1"/>
  <c r="G3" i="13" s="1"/>
  <c r="G4" i="13" s="1"/>
  <c r="G5" i="13" s="1"/>
  <c r="F2" i="12"/>
  <c r="G2" i="12" s="1"/>
  <c r="G3" i="12" s="1"/>
  <c r="G4" i="12" s="1"/>
  <c r="G6" i="12" s="1"/>
  <c r="F3" i="11"/>
  <c r="F2" i="11"/>
  <c r="I2" i="11" l="1"/>
  <c r="G3" i="11"/>
  <c r="G2" i="11"/>
  <c r="G4" i="11"/>
  <c r="G5" i="11"/>
  <c r="G2" i="10"/>
  <c r="H2" i="10" s="1"/>
  <c r="H3" i="10" s="1"/>
  <c r="H4" i="10" s="1"/>
  <c r="H6" i="10" s="1"/>
  <c r="F4" i="9"/>
  <c r="G4" i="9" s="1"/>
  <c r="F3" i="9"/>
  <c r="G3" i="9" s="1"/>
  <c r="F2" i="9"/>
  <c r="G2" i="9" s="1"/>
  <c r="F12" i="9"/>
  <c r="G12" i="9" s="1"/>
  <c r="F11" i="9"/>
  <c r="G11" i="9" s="1"/>
  <c r="F10" i="9"/>
  <c r="G10" i="9" s="1"/>
  <c r="F9" i="9"/>
  <c r="G9" i="9" s="1"/>
  <c r="F8" i="9"/>
  <c r="G8" i="9" s="1"/>
  <c r="F7" i="9"/>
  <c r="G7" i="9" s="1"/>
  <c r="F6" i="9"/>
  <c r="G6" i="9" s="1"/>
  <c r="F5" i="9"/>
  <c r="G5" i="9" s="1"/>
  <c r="F16" i="9"/>
  <c r="G16" i="9" s="1"/>
  <c r="F15" i="9"/>
  <c r="G15" i="9" s="1"/>
  <c r="F14" i="9"/>
  <c r="G14" i="9" s="1"/>
  <c r="F13" i="9"/>
  <c r="G13" i="9" s="1"/>
  <c r="F18" i="9"/>
  <c r="G18" i="9" s="1"/>
  <c r="F17" i="9"/>
  <c r="G17" i="9" s="1"/>
  <c r="J2" i="8"/>
  <c r="G6" i="11" l="1"/>
  <c r="G7" i="11" s="1"/>
  <c r="G9" i="11" s="1"/>
  <c r="G19" i="9"/>
  <c r="G20" i="9" s="1"/>
  <c r="G21" i="9" s="1"/>
  <c r="F18" i="4"/>
  <c r="G18" i="4" s="1"/>
  <c r="F15" i="4"/>
  <c r="G15" i="4" s="1"/>
  <c r="F14" i="4"/>
  <c r="G14" i="4" s="1"/>
  <c r="F13" i="4"/>
  <c r="G13" i="4" s="1"/>
  <c r="F3" i="4"/>
  <c r="G3" i="4" s="1"/>
  <c r="F4" i="4"/>
  <c r="G4" i="4" s="1"/>
  <c r="F5" i="4"/>
  <c r="G5" i="4" s="1"/>
  <c r="F6" i="4"/>
  <c r="G6" i="4" s="1"/>
  <c r="F7" i="4"/>
  <c r="G7" i="4" s="1"/>
  <c r="F8" i="4"/>
  <c r="G8" i="4" s="1"/>
  <c r="F9" i="4"/>
  <c r="F10" i="4"/>
  <c r="G10" i="4" s="1"/>
  <c r="F11" i="4"/>
  <c r="G11" i="4" s="1"/>
  <c r="F2" i="4"/>
  <c r="G2" i="4" s="1"/>
  <c r="F22" i="7"/>
  <c r="G22" i="7" s="1"/>
  <c r="F21" i="7"/>
  <c r="G21" i="7" s="1"/>
  <c r="F20" i="7"/>
  <c r="G20" i="7" s="1"/>
  <c r="F18" i="7"/>
  <c r="G18" i="7" s="1"/>
  <c r="F17" i="7"/>
  <c r="G17" i="7" s="1"/>
  <c r="F16" i="7"/>
  <c r="G16" i="7" s="1"/>
  <c r="F15" i="7"/>
  <c r="G15" i="7" s="1"/>
  <c r="F14" i="7"/>
  <c r="G14" i="7" s="1"/>
  <c r="F13" i="7"/>
  <c r="G13" i="7" s="1"/>
  <c r="F12" i="7"/>
  <c r="G12" i="7" s="1"/>
  <c r="F11" i="7"/>
  <c r="G11" i="7" s="1"/>
  <c r="F10" i="7"/>
  <c r="G10" i="7" s="1"/>
  <c r="F3" i="7"/>
  <c r="G3" i="7" s="1"/>
  <c r="F4" i="7"/>
  <c r="G4" i="7" s="1"/>
  <c r="F5" i="7"/>
  <c r="G5" i="7" s="1"/>
  <c r="F2" i="7"/>
  <c r="G2" i="7" s="1"/>
  <c r="G2" i="8"/>
  <c r="H2" i="8" s="1"/>
  <c r="H3" i="8" s="1"/>
  <c r="H4" i="8" s="1"/>
  <c r="H6" i="8" s="1"/>
  <c r="G9" i="4"/>
  <c r="G23" i="7" l="1"/>
  <c r="G24" i="7" s="1"/>
  <c r="G25" i="7" s="1"/>
  <c r="G19" i="4"/>
  <c r="G20" i="4" s="1"/>
  <c r="G21" i="4" s="1"/>
  <c r="G3" i="94"/>
  <c r="H3" i="94" s="1"/>
  <c r="H5" i="94" l="1"/>
  <c r="H6" i="94" s="1"/>
  <c r="H7" i="94" s="1"/>
  <c r="H3" i="124" l="1"/>
  <c r="H7" i="124" s="1"/>
  <c r="H8" i="124" s="1"/>
  <c r="H9" i="124" s="1"/>
</calcChain>
</file>

<file path=xl/sharedStrings.xml><?xml version="1.0" encoding="utf-8"?>
<sst xmlns="http://schemas.openxmlformats.org/spreadsheetml/2006/main" count="4243" uniqueCount="1029">
  <si>
    <t>Sl. No.</t>
  </si>
  <si>
    <t>PR No</t>
  </si>
  <si>
    <t>Part Name</t>
  </si>
  <si>
    <t>UOM</t>
  </si>
  <si>
    <t>NOS</t>
  </si>
  <si>
    <t>Item Code</t>
  </si>
  <si>
    <t>Freight-INR</t>
  </si>
  <si>
    <t>Subtotal</t>
  </si>
  <si>
    <t>Grand Total on FOR Site Basis-INR</t>
  </si>
  <si>
    <t xml:space="preserve">
1. 
2. 
3. 
4. 
5.
6. 
7. 
8.
9. </t>
  </si>
  <si>
    <t>Anne</t>
  </si>
  <si>
    <t>Unit Rate
INR</t>
  </si>
  <si>
    <t>Sub Total
INR</t>
  </si>
  <si>
    <t>Qty</t>
  </si>
  <si>
    <t>Gina</t>
  </si>
  <si>
    <t>GST Rate 18% applicable against HSN: 8483</t>
  </si>
  <si>
    <t>Self</t>
  </si>
  <si>
    <t>Considered</t>
  </si>
  <si>
    <t>CARD FOR SCADA DEVICE,TYPE:FCK-801A CARD NO:FCK-801 A/2 000009050273/8 MONITORING PANEL</t>
  </si>
  <si>
    <t>CONTROL CARD FOR ACTUATOR OF SHANGHAI YI ROTORK,
TYPE-11A/MOYF40,SN-SR54895, WIRING DIARAM-1410-50-CA,
TORQUE-500NM,SPEED-24RPM-25SEC,IP-68,3~415V-50HZ,KW-0.37,2.5 AMP,INDICATION CONTACT-440VAC,0.5A/125</t>
  </si>
  <si>
    <t>CONTROL CARD FOR ACTUATOR OF SHANGHAI YI ROTORK
TYPE-16A/MOBF64, SN-SR54698,WIRING DIARAM-1410-50-CA,TORQUE-2000NM,
SPEED-24RPM-25SEC,IP-68,3~415V-50HZ,KW-0.37,2.5 AMP,INDICATION CONTACT-440VAC,0.5A/12</t>
  </si>
  <si>
    <t>HMI DISPLAY UNIT FOR WXH-802A MICROPROCESSOR BASED DIGITAL TRANSMISSION LINE PROTECTION DEVICE
 MAKE:XJ ELECTRIC CO LTD</t>
  </si>
  <si>
    <t xml:space="preserve">RCS RELAY DISPLAY CARD, TRULY MPG940-B1 LCD DISPLAY, TR-804  94V-O, V2.0  </t>
  </si>
  <si>
    <t>INTELLEGENT ELECTRICAL  TRIP UNIT TYPE: ZDT-3
MAKE SIEMENS LOW VOLTAGE CIRCUIT BREAKER CO. LTD SHANGHAI, TYPE:JZ-7GJ-L222,COIL VOLTAGE: DC 240V</t>
  </si>
  <si>
    <t>RELAY PCK  PC 800SERIES PRODUCT DATA LABLE,PRODUCT CODE:-PC802,VERSION :2.7,PRODUCT TYPE:-PC802A1-5A,
MAKE: SHANGHAI SAILFAR ELECTRIC TECHNOLOGY CO. LTD.OF DAQO GROUP,CHINA</t>
  </si>
  <si>
    <t>MAIN CIRCUIT STATIC PLUG CONNECTOR OUTLET, SOCKET TYPE FIXED, SIDE CABLE CHAMBER, 415V 3-POLE 125A</t>
  </si>
  <si>
    <t>MAIN CIRCUIT STATIC PLUG CONNECTOR OUTLET, SOCKET TYPE FIXED, SIDE CABLE CHAMBER, 415V 3-POLE 160A</t>
  </si>
  <si>
    <t>MAIN CIRCUIT STATIC PLUG CONNECTOR OUTLET, SOCKET TYPE FIXED, SIDE CABLE CHAMBER, 415V 3-POLE 250A</t>
  </si>
  <si>
    <t>MAIN CIRCUIT STATIC PLUG CONNECTOR OUTLET, SOCKET TYPE FIXED, SIDE CABLE CHAMBER, 415V 3-POLE 400A</t>
  </si>
  <si>
    <t>MAIN CIRCUIT STATIC PLUG CONNECTOR OUTLET, SOCKET TYPE FIXED, SIDE CABLE CHAMBER, 415V 4-POLE 125A</t>
  </si>
  <si>
    <t>MAIN CIRCUIT STATIC PLUG CONNECTOR OUTLET, SOCKET TYPE FIXED, SIDE CABLE CHAMBER, 415V 4-POLE 160A</t>
  </si>
  <si>
    <t>MAIN CIRCUIT STATIC PLUG CONNECTOR OUTLET, SOCKET TYPE FIXED, SIDE CABLE CHAMBER, 415V 4-POLE 250A</t>
  </si>
  <si>
    <t>MAIN CIRCUIT STATIC PLUG CONNECTOR OUTLET, SOCKET TYPE FIXED, SIDE CABLE CHAMBER, 415V 4-POLE 400A</t>
  </si>
  <si>
    <t>DISTRIBUTION CABINET 3 POLE PLUG IN CONNECTOR BOX(OUT LET BOX), MODEL:8ZR 573 103</t>
  </si>
  <si>
    <t>DISTRIBUTION CABINET 4 POLE PLUG IN CONNECTOR BOX(OUT LET BOX), MODEL:8ZR 573</t>
  </si>
  <si>
    <t>SWITCH CABINET CABLE COPPER SQUARE CONTACT(LUG) GCS/SYJ 16 SQMM</t>
  </si>
  <si>
    <t>SWITCH CABINET CABLE COPPER SQUARE CONTACT(LUG) GCS/SYJ 25 SQMM</t>
  </si>
  <si>
    <t>SWITCH CABINET CABLE COPPER SQUARE CONTACT(LUG) GCS/SYJ 35 SQMM</t>
  </si>
  <si>
    <t>SWITCH CABINET CABLE COPPER SQUARE CONTACT(LUG) GCS/SYJ 50 SQMM</t>
  </si>
  <si>
    <t>SWITCH CABINET CABLE COPPER SQUARE CONTACT(LUG) GCS/SYJ 70 SQMM</t>
  </si>
  <si>
    <t>SWITCH CABINET CABLE COPPER SQUARE CONTACT(LUG) GCS/SYJ 95 SQMM</t>
  </si>
  <si>
    <t>SWITCH CABINET CABLE COPPER SQUARE CONTACT(LUG) GCS/SYJ 120 SQMM</t>
  </si>
  <si>
    <t>SWITCH CABINET DRAW OPERATION HANDLE PUSH MECHANISM GCS/MNS, MODEL:CJG-1, MNS3.0 OPERATING MECHANISM</t>
  </si>
  <si>
    <t>SWITCH CABINET DRAW OPERATION HANDLE PUSH MECHANISM GCS/MNS, MODEL:CJG-2, MNS3.0 OPERATING MECHANISM</t>
  </si>
  <si>
    <t>SWITCH CABINET DRAW OPERATION HANDLE PUSH MECHANISM GCS/MNS, MODEL:CJG-3, MNS3.0 OPERATING MECHANISM</t>
  </si>
  <si>
    <t>PR-125</t>
  </si>
  <si>
    <t>BFP DISCHARGE MOV CARD -0800493 2QMBV2 ACTUATOR TYPE- ZA5/TIN, Make: Tianjin Baili Ertong valve actuator co ltd</t>
  </si>
  <si>
    <t>PR-129</t>
  </si>
  <si>
    <t>PR-86</t>
  </si>
  <si>
    <t>Old</t>
  </si>
  <si>
    <t>Emma Old- 2410</t>
  </si>
  <si>
    <t>GST Rate 18% applicable against HSN: 8536</t>
  </si>
  <si>
    <r>
      <rPr>
        <b/>
        <u/>
        <sz val="9"/>
        <rFont val="Tahoma"/>
        <family val="2"/>
      </rPr>
      <t>Terms &amp; Conditions</t>
    </r>
    <r>
      <rPr>
        <sz val="9"/>
        <rFont val="Tahoma"/>
        <family val="2"/>
      </rPr>
      <t xml:space="preserve">
Offer Basis FOR Plant Basis.
Delivery Time: 11 to 13 weeks from date of reciept of confirm PO.
G/Warranty: 12 months from date of  DISPATCH - only for manufacturing defects
Payment Terms: 100% alongwith taxes etc against PI, prior to delivery at site.
Offer Validity: 31 days from date of offer.
Any statuaory changes in rate of tax etc will be applicable as on date of dispatch.
Minimum Order Qty: N/A
Standard packaging will be done for supply of above items.
Our offer confirm for 100% fitment &amp; interchangeability of offered products. In case of any discrepancy, we will replace items promptly for free of cost. </t>
    </r>
  </si>
  <si>
    <t xml:space="preserve">No 4 pole, 
as per OEM only 3 pole </t>
  </si>
  <si>
    <t>PR/19/131</t>
  </si>
  <si>
    <t>GST Rate 18% applicable against HSN: 8413</t>
  </si>
  <si>
    <t>Anne- 560</t>
  </si>
  <si>
    <t>Anne-230</t>
  </si>
  <si>
    <t>Anne-320</t>
  </si>
  <si>
    <t>PR/19/191-ELECTRICAL</t>
  </si>
  <si>
    <t>Actuator  IGV,TYPE-VA040/VGW5
WIRING DIAGARM-103-03-1,SPEED-24 RPM,TORQUE-203 NM, ENCLOSURE:IP68, MOTOR RATING: 0.47 KW-15 MIN.,
POWER SUPPLY:415VAC/50Hz, LUBRICANT: 75V/90 GL-4</t>
  </si>
  <si>
    <t>Actuator IGV,TYPE-VA040/VGW5
SPEED-24RPM,TORQUE-142 NM,ENCLOSURE:IP68, MOTOR RATING: 0.37 KW-15 MIN., POWER SUPPLY:415VAC/50Hz, LUBRICANT: 75V/90 GL-4</t>
  </si>
  <si>
    <t>Actuator IGV,TYPE-VA020/VGW5
,DIAGARM-103-03-1,SPEED-24RPM,TORQUE-81 NM, ENCLOSURE:IP68, MOTOR RATING: 0.47 KW-15 MIN.,
POWER SUPPLY:415VAC/50Hz, LUBRICANT: 75V/90 GL-4</t>
  </si>
  <si>
    <t>COMPLETE CONTROL UNIT FOR ACTUATOR OF VODN
,TYPE-VA040/VGW5,WIRING DIAGARM-103-03-1,SPEED-24RPM,TORQUE-203 Nm,IP-68,KW-0.47,DUTY-S2-15MIN,
3~415-50HZ, INDICATION CONTACT-5A/250VAC,5A/30VDC,SN-08121075</t>
  </si>
  <si>
    <t>COMPLETE CONTROL UNIT FOR ACTUATOR OF VODN
,TYPE-VAO40/VGW5,SN-08121086,WIRING DIAGRAM-103-03-1,SPEED-24 RPM,TORQUE-142 NM,ENCLOSURE-IP68,KW-0.37,DUTY-S2-15MIN,3~415,50,HZ,INDICATION CONTACT-5A/250VAC,</t>
  </si>
  <si>
    <t>COMPLETE CONTROL UNIT FOR ACTUATOR OF VODN Ex
,TYPE-VA020/VGW5,WIRING DIAGRAM-103-03-1,SPEED-24 RPM,TORQUE-81 NM,ENCLOSURE-IP68,KW-0.37,DUTY-S2-15MIN,3~415,50HZ,INDICATION CONTACT- 5A/250VAC,5A/30 VDC</t>
  </si>
  <si>
    <t>POWER CARD FOR ACTUATOR OF SHANGHAI YI ROTORK
,TYPE-11A/MOYF40,SN-SR54895, WIRING DIARAM-1410-50-CA,TORQUE-500NM,SPEED-24RPM-25SEC,IP-68,3~415V-50HZ,KW-0.37,2.5 AMP,INDICATION CONTACT-440VAC,0.5A/125VD</t>
  </si>
  <si>
    <t>POWER CARD FOR ACTUATOR OF SHANGHAI YI ROTORK,
TYPE-16A/MOBF64,SN-SR54698,WIRING DIARAM-1410-50-CA,TORQUE-2000NM,SPEED-24RPM-25SEC,IP-68,3~415V-50HZ,KW-0.37,2.5 AMP,INDICATION CONTACT-44V0AC,0.5A/125VD</t>
  </si>
  <si>
    <t>Qty
Nos</t>
  </si>
  <si>
    <r>
      <rPr>
        <b/>
        <u/>
        <sz val="9"/>
        <rFont val="Calibri Light"/>
        <family val="2"/>
      </rPr>
      <t>Terms &amp; Conditions</t>
    </r>
    <r>
      <rPr>
        <sz val="9"/>
        <rFont val="Calibri Light"/>
        <family val="2"/>
      </rPr>
      <t xml:space="preserve">
Offer Basis FOR Plant Basis.
Delivery Time: 11 to 13 weeks from date of receipt of confirm PO.
G/Warranty: 12 months from date of  DISPATCH - only for manufacturing defects
Payment Terms: 100% alongwith taxes etc against PI, prior to delivery at site.
Offer Validity: 31 days from date of offer.
Any statuaory changes in rate of tax etc will be applicable as on date of dispatch.
Minimum Order Qty: N/A
Standard packaging will be done for supply of above items.
Our offer confirms for 100% fitment &amp; interchangeability of offered products. In case of any discrepancy, we will replace items promptly for free of cost. </t>
    </r>
  </si>
  <si>
    <r>
      <rPr>
        <b/>
        <u/>
        <sz val="9"/>
        <rFont val="Calibri Light"/>
        <family val="2"/>
      </rPr>
      <t>Terms &amp; Conditions</t>
    </r>
    <r>
      <rPr>
        <sz val="9"/>
        <rFont val="Calibri Light"/>
        <family val="2"/>
      </rPr>
      <t xml:space="preserve">
Offer Basis FOR Plant Basis.
Delivery Time: 11 to 13 weeks from date of reciept of confirm PO.
G/Warranty: 12 months from date of  DISPATCH - only for manufacturing defects
Payment Terms: 100% alongwith taxes etc against PI, prior to delivery at site.
Offer Validity: 31 days from date of offer.
Any statuaory changes in rate of tax etc will be applicable as on date of dispatch.
Minimum Order Qty: N/A
Standard packaging will be done for supply of above items.
Our offer confirm for 100% fitment &amp; interchangeability of offered products. In case of any discrepancy, we will replace items promptly for free of cost. </t>
    </r>
  </si>
  <si>
    <t>Anne- 520</t>
  </si>
  <si>
    <t>Discontinued</t>
  </si>
  <si>
    <t>Need Item pics</t>
  </si>
  <si>
    <t>HYDRAULIC GEAR PUMP, MAKE: SDH HYDRAULIC, 
MODEL: CBDI-F526-F36 -Z2-C
A. Oil In/Outlet Flange Connection- F36     In: φ56 x M10 x φ27    Out: φ56 x M10 x φ19
B. Shaft Extension: Z2 Taper shaft
C. Rotation: Clockwise</t>
  </si>
  <si>
    <t>PR/19/45</t>
  </si>
  <si>
    <t>AC CAPACITOR
83 MICRO FARAD -5 TO +10% 440VAC 
FOR AEG UPS 80KVA PROTECT 5.31.</t>
  </si>
  <si>
    <t>DC CAPACITOR 
6000 MICRO FARAD +/-20% 315V DC,ALS31C108NT0615 FOR AEG UPS 80KVA PROTECT 5.31</t>
  </si>
  <si>
    <t>ROTARY CAM SWITCH, M220-20392</t>
  </si>
  <si>
    <t>SBS INTERFACE BOARD  W-CQYG-8 FOR UPS</t>
  </si>
  <si>
    <t>PR/20/304</t>
  </si>
  <si>
    <t>COK CARD 
FOR MFC2000-2 HIGH SPEED BUS POWER SUPPLY TRANSFER RELAY-
WISCOM ELECTRICAL CO.,LTD. 
MODEL:MFC2000-2 COK-V103. TYPE:YTM-90103-02</t>
  </si>
  <si>
    <t>I/O CARD FOR MFC2000-2 HIGH SPEED BUS POWER SUPPLY TRANSFER RELAY
WISCOM ELECTRICAL CO.,LTD. 
MODEL:MFC2000-2 COK-V103. TYPE:YTM-90103-02</t>
  </si>
  <si>
    <t>TOTAL CONNECT BOARD OF INTELLIGENCE MONITOR, JZ-S1B-11 
FOR 220V DC BATTERY CHARGER</t>
  </si>
  <si>
    <t>DISPLAY CARD - DMF50081 
FOR 220V DC INTELLIGENT MONITOR EQUIPMENT</t>
  </si>
  <si>
    <t>POWER CARD 
FOR STAND BY SWITCHING POWER RELAY AUTO BACK UP POWER SWITCHING DEVICE MODEL DCAP 3232 DCP400-DY1-301-V103-2003/7/18-WISCOM,EMDCP-303</t>
  </si>
  <si>
    <t>STAND BY SWITCHING POWER RELAY AUTO BACK UP POWER SWITCHING DEVICE MODEL DCAP 3232, MAKE : WISCOM ELECTRIC CO LTD</t>
  </si>
  <si>
    <t>ELECTRONIC CARD ATC 20A -ZK  
FOR ESP MAKE FUJIAN LONGKING LTD CHINA</t>
  </si>
  <si>
    <t>THYRISTOR 50A
 TYPE ZP50A-IF(AD) 50A IFM &lt;=1.6V, 
VRRM-1500V IRRM &lt;=12MA RJC&lt;=0.6 DEG C/W</t>
  </si>
  <si>
    <t>CARD SL07014 ,
FOR RECTIFIER PANEL FOR SODIUM HYPO GENERATION SYSTEM</t>
  </si>
  <si>
    <t>CARD SL07015 ,FOR RECTIFIER PANEL FOR SODIUM HYPO GENERATION SYSTEM</t>
  </si>
  <si>
    <t>PR/20/281</t>
  </si>
  <si>
    <t>WAER TUBE FOR  ROLLER SEALING AIR LINE OF COAL MILL, 
MODEL: ZGM95N MAKE-BPEG</t>
  </si>
  <si>
    <t>PROTACTING RING (ROLLER ASSEMBLY) 
FOR COAL MILL ZGM95N,OEM PART NO-41   MAKE-BPEG</t>
  </si>
  <si>
    <t>PR/20/269</t>
  </si>
  <si>
    <t>LVDT MAKE : SHIZHONG, MODEL : 1000TD ,             0-50 MM ,</t>
  </si>
  <si>
    <t xml:space="preserve">GST Rate 18% as applicable </t>
  </si>
  <si>
    <t>35- Kempston</t>
  </si>
  <si>
    <t>10-self 1688</t>
  </si>
  <si>
    <t>PR/20/268</t>
  </si>
  <si>
    <t>GST Rate 18% applicable against HSN: 9031</t>
  </si>
  <si>
    <t>PRESSURE TRANSDUCER 
Upgraded Model:E-ATR-8 
Make Atos
Refer attached Technical Catalogue</t>
  </si>
  <si>
    <t>AC CAPACITOR 83 MICRO FARAD -5 TO +10% 440VAC FOR AEG UPS 80KVA PROTECT 5.31.</t>
  </si>
  <si>
    <t>DC CAPACITOR 6000 MICRO FARAD +/-20% 315V DC,ALS31C108NT0615 FOR AEG UPS 80KVA PROTECT 5.31</t>
  </si>
  <si>
    <r>
      <t xml:space="preserve">RCS RELAY DISPLAY CARD, TRULY MPG940-B1 LCD DISPLAY, TR-804  94V-O, V2.0
</t>
    </r>
    <r>
      <rPr>
        <b/>
        <u/>
        <sz val="9"/>
        <color rgb="FF000000"/>
        <rFont val="Tahoma"/>
        <family val="2"/>
      </rPr>
      <t>1 PC CARD + 1 PC DISPLAY AS PER BUYER'S PICTURE = 1 SET</t>
    </r>
  </si>
  <si>
    <t>Set</t>
  </si>
  <si>
    <t>DISPLAY CARD - DMF50081 FOR 220V DC INTELLIGENT MONITOR EQUIPMENT
Note:Upgrade will contain following in 1 set
  (LCD screen + key + main card )</t>
  </si>
  <si>
    <t>SR Trader</t>
  </si>
  <si>
    <r>
      <rPr>
        <b/>
        <u/>
        <sz val="10"/>
        <rFont val="Calibri"/>
        <family val="2"/>
        <scheme val="minor"/>
      </rPr>
      <t>Terms &amp; Conditions</t>
    </r>
    <r>
      <rPr>
        <sz val="10"/>
        <rFont val="Calibri"/>
        <family val="2"/>
        <scheme val="minor"/>
      </rPr>
      <t xml:space="preserve">
Offer Basis FOR Plant Basis.
Delivery Time: 11 to 13 weeks from date of receipt of confirm PO.
G/Warranty: 12 months from date of  DISPATCH - only for manufacturing defects
Payment Terms: 100% along with taxes etc against PI, prior to delivery at site.
Offer Validity: 31 days from date of offer.
Any statutory changes in rate of tax etc will be applicable as on date of dispatch.
Minimum Order Qty: N/A
Standard packaging will be done for supply of above items.
Our offer confirm for 100% fitment &amp; interchangeability of offered products. In case of any discrepancy, we will replace items promptly for free of cost. </t>
    </r>
  </si>
  <si>
    <t>Ea</t>
  </si>
  <si>
    <t>Emma</t>
  </si>
  <si>
    <t>SVH SERVO CARD
MODEL-SVH61
I/P RESISRANCE-500 OHM LVDT FEEDBACK MAX-18VPP FREQ-1000HZ
POWER- +24/+-15VDC TEMP:-40-80DEG</t>
  </si>
  <si>
    <t>GST Rate 18% applicable against HSN: 9032</t>
  </si>
  <si>
    <t>S.No.</t>
  </si>
  <si>
    <t>PR No.</t>
  </si>
  <si>
    <t>Material Code</t>
  </si>
  <si>
    <t>Item Description</t>
  </si>
  <si>
    <t>UoM</t>
  </si>
  <si>
    <t>Unit Price</t>
  </si>
  <si>
    <t>Sub Total</t>
  </si>
  <si>
    <t>Remarks</t>
  </si>
  <si>
    <t>Unit price</t>
  </si>
  <si>
    <t>PR/21/48</t>
  </si>
  <si>
    <t>VACCUM CIRCUIT BREAKER, RATED CURRENT= 2000A, ZN63-VS1-2000-40KA,AUX SUPPLY DC220V, 12KV, 50HZ, MODEL: VCB-ZN63-SHTS, RATED OPERATING SEQUENCE:O-180s-CO-180s-CO, DRAW OUT TYPE: MAKE:SHANGHAI HUA TONG SWITCHGEAR. REQUIRED FOR CUBICLE WIDTH OF 1000MM, PHASE CLEARANCE:275MM, BREAKER SWITCH CONTACTS-8NO+8NC, POSITION SWITCH CONTACTS-5NO.</t>
  </si>
  <si>
    <t>NO</t>
  </si>
  <si>
    <t>VACCUM CIRCUIT BREAKER- Complete Assembly/Device</t>
  </si>
  <si>
    <t>5301000009
5301000016</t>
  </si>
  <si>
    <t>TULIP(JAW) COPPER CONTACTS FOR VCB 2000A, ZN63-VS1-2000-40KA, VCB MODEL:VCB-ZN63-SHTS, DRAWOUT TYPE, MAKE:SHANGHAI HUA TONG SWITCHGEAR, FINGER PIECES-48, FIXED CONTACT SIZE:79MM.</t>
  </si>
  <si>
    <t>TULIP(JAW) COPPER CONTACTS</t>
  </si>
  <si>
    <t>INDOOR HIGH VOLTAGE VCB ,RATED VOLTAGE /CURRENT/FREQUECY 12KV/1250A/50HZ,TYPE ZN63-(VS1)-12/1250-40,AUX SUPPLY DC220V,CUBICLE SIZE W-1000;D-1660;H-2300</t>
  </si>
  <si>
    <t>VCB CLOSING COIL(CLOSING MAGNET), 210 OHMS, OPERATING VOLTAGE:220V DC</t>
  </si>
  <si>
    <t>VCB CLOSING COIL</t>
  </si>
  <si>
    <t>SPRING CHARGING MOTOR OF VCB,TYPE: ZN-63A (VS1),FREQUENCY: 50HZ, VOLTAGE: 12KV, CAPACITY: 630AMPS, SPRING CHARGE MOTOR VOLTAGE: DC 240V, MODEL:HDZ-208160, 220V 0.35A, 85W 16000RPM, S2-1MIN.</t>
  </si>
  <si>
    <t>SPRING CHARGING MOTOR OF VCB</t>
  </si>
  <si>
    <t>SPRING CHARGING MOTOR OF VCB,TYPE: ZN-63A (VS1),FREQUENCY: 50HZ, VOLTAGE: 12KV, CAPACITY: 2000AMPS, SPRING CHARGE MOTOR VOLTAGE: DC 240V, MODEL:HDZ-20900A, 1.0A, 90W, 25RPM,S2-1MIN.</t>
  </si>
  <si>
    <t>2 </t>
  </si>
  <si>
    <t>NO </t>
  </si>
  <si>
    <t>SPRING CHARGING MOTOR OF VCB,TYPE: ZN-63A (VS1),FREQUENCY: 50HZ, VOLTAGE: 12KV, CAPACITY: 1250AMPS, SPRING CHARGE MOTOR VOLTAGE: DC 240V, MODEL:ZYJ220-66-106, 0.7A, 70W, 17RPM,S2-1MIN.</t>
  </si>
  <si>
    <t> 1</t>
  </si>
  <si>
    <t> NO</t>
  </si>
  <si>
    <t>BREAKER AUXILIARY SWITCH F10-16-II/W2 FOR VCB ZN63-VS1-12KV, CONTACTS:8NO+8NC, AUX.SUPPLY-220VDC,20A, VCB MAKE:SHANGHAI HUATONG SWITCHGEAR.</t>
  </si>
  <si>
    <t>BREAKER AUXILIARY SWITCH F10-16-II/W2</t>
  </si>
  <si>
    <t>BREAKER AUXILIARY SWITCH CONTACTS FK10-II-50 FOR VCB ZN63-VS1-12KV, CONTACTS:5NO, AUX.SUPPLY-220VDC,10A, VCB MAKE:SHANGHAI HUATONG SWITCHGEAR.</t>
  </si>
  <si>
    <t>BREAKER AUXILIARY SWITCH CONTACTS FK10-II-50</t>
  </si>
  <si>
    <t>5301000015
5301000009</t>
  </si>
  <si>
    <t>TULIP JAW COPPER CONTACTS OF 12KV VACUUM CIRCUIT BREAKER FOR 3150A, ZN63-VS1-3150-40KA, VCB MODEL:VCB-ZN63-SHTS, DRAWOUT TYPE, MAKE:SHANGHAI HUA TONG SWITCHGEAR, FINGER PIECES-64, FIXED CONTACT SIZE:109MM.1 SET(6 NO OF) CONTACTS</t>
  </si>
  <si>
    <t>5301000017
5301000009</t>
  </si>
  <si>
    <t>TULIP JAW COPPER CONTACTS OF 12KV VACUUM CIRCUIT BREAKER FOR 1600A, ZN63-VS1-1600-40KA DRAWOUT TYPE BREAKER, MAKE-SHANGHAI HUATONG. FINGER PIECES-36, FIXED CONTACT SIZE:55MM. 1 SET(6 NO OF) CONTACTS</t>
  </si>
  <si>
    <t>5301000018
5301000009</t>
  </si>
  <si>
    <t>TULIP JAW COPPER CONTACTS OF 12KV VACUUM CIRCUIT BREAKER FOR 1250A,ZN63-VS1-1250-40KA DRAWOUT TYPE BREAKEER, MAKE-SHANGHAI HUATONG. FINGER PIECES-30, FIXED CONTACT SIZE:49MM 1 SET(6 NO OF) CONTACTS.</t>
  </si>
  <si>
    <t>VCB CHASIS TRUCK TROLLEY FOR CUBICAL WIDTH OF 800MM
DPC-4/4A-800	650	600	560	520	652	682</t>
  </si>
  <si>
    <t>CHASIS TRUCK TROLLEY</t>
  </si>
  <si>
    <t>VCB CHASIS TRUCK TROLLEY FOR CUBICAL WIDTH OF 1000MM
DPC-4/4A-1000	850	800	760	720	852	882</t>
  </si>
  <si>
    <t>1 NO</t>
  </si>
  <si>
    <t>Subtotal (INR)</t>
  </si>
  <si>
    <t>GST as applicable against HSN 8536</t>
  </si>
  <si>
    <t>Joy</t>
  </si>
  <si>
    <t>28/pcs</t>
  </si>
  <si>
    <t>65/pcs</t>
  </si>
  <si>
    <t>28pcs</t>
  </si>
  <si>
    <t>20/pcs</t>
  </si>
  <si>
    <t>Melissa</t>
  </si>
  <si>
    <t>Horit</t>
  </si>
  <si>
    <t>Emma- Copy</t>
  </si>
  <si>
    <t>GST Rate 18% applicable against HSN: 8421</t>
  </si>
  <si>
    <r>
      <rPr>
        <b/>
        <u/>
        <sz val="10"/>
        <rFont val="Calibri"/>
        <family val="2"/>
        <scheme val="minor"/>
      </rPr>
      <t>Terms &amp; Conditions</t>
    </r>
    <r>
      <rPr>
        <sz val="10"/>
        <rFont val="Calibri"/>
        <family val="2"/>
        <scheme val="minor"/>
      </rPr>
      <t xml:space="preserve">
Offer Basis FOR Plant Basis.
Delivery Time: 8 to 10 weeks from date of receipt of confirm PO.
G/Warranty: 12 months from date of  DISPATCH - only for manufacturing defects
Payment Terms: 100% along with taxes etc against PI, prior to delivery at site.
Offer Validity: 31 days from date of offer.
Any statutory changes in rate of tax etc will be applicable as on date of dispatch.
Minimum Order Qty: N/A
Standard packaging will be done for supply of above items.
Our offer confirm for 100% fitment &amp; interchangeability of offered products. In case of any discrepancy, we will replace items promptly for free of cost. </t>
    </r>
  </si>
  <si>
    <t>DUPLEX FILTER CARTRIDGE
Body: Stainless Steel
20 MICRONS
Size 130X89X205MM
For Fluid Coupling of BOILER FEED PUMP
01 Set= 2 Pcs</t>
  </si>
  <si>
    <t>QQ</t>
  </si>
  <si>
    <t>SET
(1 Set=6 Nos)</t>
  </si>
  <si>
    <t>PRESSURE SWITCH
MAKE UNITED ELECTRIC CONTROL CO.LTD.
MODEL NO J402-550,OPTION - M202,
OPERATING RANGE -(-1 BAR TO 0 MBAR ), PROOF - (2.1 BAR)</t>
  </si>
  <si>
    <t>CONTROL TERMINAL BLOCK (FIXED + MOVING) FOR AUXIALLATY CIRUIT OF AIR CIRCUIT BREAKER  HA1 SERIES AIR CIRCUIT BREAKER.</t>
  </si>
  <si>
    <t xml:space="preserve">PHASE LOSS PROTECTION MODULE MODEL :WK-2  CN0504 FOR DL ACTUATOR OF DZW SERIES.   </t>
  </si>
  <si>
    <t xml:space="preserve">FORCE COOLING FAN FOR DV100M4 MOTOR, PART NO-01823426, WATTS:35W, VOLT:415V, RPM:2800, 50 HZ ( FORCE COOLING FAN FOR DV100M4 MOTOR, PART NO-01823426, WATTS:35W, VOLT:415V, RPM:2800, 50 HZ
(G SERIES FORCED COOLING FAN FOR VFD MOTORS, 35WATT, 415V 50HZ, 2800RPM, TYPE:G-100A, MAKE:ROTOTECH/VKELE). </t>
  </si>
  <si>
    <t>COOLING FAN FOR MOTOR, 80 WATT, 415 VOLT, 1400 RPM, TYPE-G160A
G-SERIES FORCE COOLING FAN FOR VFD MOTOR, TYPE:G-160A , POWER:80W, VOLT:415V, RPM:1400, 50 HZ, FLOW:960CMH, MAKE:ROTOTECH/VKELE</t>
  </si>
  <si>
    <t>CURRENT TRANSFORMER FOR LT SWITCHGEAR, 4000/5A, RESIN CAST FILLED NYLON CASING WINDOW TYPE FOR PROTECTION, CLASS:5P20, BURDEN:10VA, PRIMARY BAR SIZE:100x10mm.</t>
  </si>
  <si>
    <t>CURRENT TRANSFORMER FOR LT SWITCHGEAR, 3000/5A, NYLON CASING WINDOW TYPE FOR PROTECTION, CLASS:5P20, BURDEN:10VA, PRIMARY BAR SIZE:90x10mm.</t>
  </si>
  <si>
    <t>CURRENT TRANSFORMER FOR LT SWITCHGEAR, 2500/5A, RESIN CAST FILLED NYLON CASING WINDOW TYPE FOR PROTECTION, CLASS:5P20, BURDEN:10VA, PRIMARY BAR SIZE:90x10mm.</t>
  </si>
  <si>
    <t>CURRENT TRANSFORMER FOR LT SWITCHGEAR, 2000/5A, RESIN CAST FILLED NYLON CASING WINDOW TYPE FOR PROTECTION, CLASS:5P20, BURDEN:10VA, PRIMARY BAR SIZE:90x10mm.</t>
  </si>
  <si>
    <t>CURRENT TRANSFORMER FOR LT SWITCHGEAR, 1500/5A, RESIN CAST FILLED NYLON CASING WINDOW TYPE FOR PROTECTION, CLASS:5P20, BURDEN:10VA, PRIMARY BAR SIZE:80x10mm</t>
  </si>
  <si>
    <t>CURRENT TRANSFORMER FOR LT SWITCHGEAR, 1250/5A, RESIN CAST FILLED NYLON CASING WINDOW TYPE FOR PROTECTION, CLASS:5P20, BURDEN:10VA, PRIMARY BAR SIZE:60x10mm.</t>
  </si>
  <si>
    <t>CURRENT TRANSFORMER FOR LT SWITCHGEAR, 1000/5A, RESIN CAST FILLED NYLON CASING WINDOW TYPE FOR PROTECTION, CLASS:5P20, BURDEN:10VA, PRIMARY BAR SIZE:60x8mm.</t>
  </si>
  <si>
    <t>CURRENT TRANSFORMER FOR LT SWITCHGEAR, 800/5A, RESIN CAST FILLED NYLON CASING WINDOW TYPE FOR PROTECTION, CLASS:5P20, BURDEN:10VA, PRIMARY BAR SIZE:60x8mm.</t>
  </si>
  <si>
    <t>CURRENT TRANSFORMER FOR LT SWITCHGEAR, 600/5A, RESIN CAST FILLED NYLON CASING WINDOW TYPE FOR PROTECTION, CLASS:5P20, BURDEN:10VA, PRIMARY BAR SIZE:60x8mm.</t>
  </si>
  <si>
    <t>CURRENT TRANSFORMER FOR LT SWITCHGEAR, 400/5A, RESIN CAST FILLED NYLON CASING WINDOW TYPE FOR PROTECTION, CLASS:5P20, BURDEN:10VA, PRIMARY BAR SIZE:60x6mm.</t>
  </si>
  <si>
    <t>CURRENT TRANSFORMER FOR LT SWITCHGEAR, 300/5A, RESIN CAST FILLED NYLON CASING WINDOW TYPE FOR PROTECTION, CLASS:5P20, BURDEN:10VA, PRIMARY BAR SIZE:60x6mm.</t>
  </si>
  <si>
    <t>N/A</t>
  </si>
  <si>
    <t>GST Rate 18% applicable against HSN: 8501</t>
  </si>
  <si>
    <t>PRIMARY CIRCUIT PLUG SOCKET FEEDER INCOMING SIDE MOVING CONNECTOR,MODEL:CIWZ/CZC/CJC3-400A,3 POLE 660V 400A.</t>
  </si>
  <si>
    <t>PRIMARY CIRCUIT PLUG SOCKET FEEDER INCOMING SIDE MOVING CONNECTOR,MODEL:CIWZ/CZC/CJC3-400A,4 POLE 660V 400A.</t>
  </si>
  <si>
    <t>PRIMARY CIRCUIT PLUG SOCKET FEEDER INCOMING SIDE MOVING CONNECTOR,MODEL:CIWZ/CZC/CJC3-250A,3 POLE 660V 250A.</t>
  </si>
  <si>
    <t>PRIMARY CIRCUIT PLUG SOCKET FEEDER INCOMING SIDE MOVING CONNECTOR,MODEL:CIWZ/CZC/CJC3-250A,4 POLE 660V 250A.</t>
  </si>
  <si>
    <t>PRIMARY CIRCUIT PLUG SOCKET FEEDER INCOMING SIDE MOVING CONNECTOR,MODEL:CIWZ/CZC/CJC3-160A,3 POLE 660V 160A.</t>
  </si>
  <si>
    <t>PRIMARY CIRCUIT PLUG SOCKET FEEDER INCOMING SIDE MOVING CONNECTOR,MODEL:CIWZ/CZC/CJC3-160A,4 POLE 660V 160A.</t>
  </si>
  <si>
    <t>PRIMARY CIRCUIT PLUG SOCKET FEEDER INCOMING SIDE MOVING CONNECTOR,MODEL:CIWZ/CZC/CJC3-125A,3 POLE 660V 125A.</t>
  </si>
  <si>
    <t>PRIMARY CIRCUIT PLUG SOCKET FEEDER INCOMING SIDE MOVING CONNECTOR,MODEL:CIWZ/CZC/CJC3-125A,4 POLE 660V 125A.</t>
  </si>
  <si>
    <t>GCS SWITCH CABINET CONNECTOR CONTACT,95 SQMM, LENGTH-800mm, MODEL:SYJ-95-250</t>
  </si>
  <si>
    <t>GCS SWITCH CABINET CONNECTOR CONTACT,70 SQMM, LENGTH-800mm, MODEL:SYJ-70-200</t>
  </si>
  <si>
    <t>GCS SWITCH CABINET CONNECTOR CONTACT,70 SQMM, LENGTH-500mm, MODEL:SYJ-70-200</t>
  </si>
  <si>
    <t>GCS SWITCH CABINET CONNECTOR CONTACT,50 SQMM, LENGTH-800mm, MODEL:SYJ-50-160</t>
  </si>
  <si>
    <t>GCS SWITCH CABINET CONNECTOR CONTACT,50 SQMM, LENGTH-500mm, MODEL:SYJ-50-160</t>
  </si>
  <si>
    <t>GCS SWITCH CABINET CONNECTOR CONTACT,35 SQMM, LENGTH-800mm, MODEL:SYJ-35-125</t>
  </si>
  <si>
    <t>GCS SWITCH CABINET CONNECTOR CONTACT,35 SQMM, LENGTH-500mm, MODEL:SYJ-35-125</t>
  </si>
  <si>
    <t>GCS SWITCH CABINET CONNECTOR CONTACT,25 SQMM, LENGTH-800mm, MODEL:SYJ-25-100</t>
  </si>
  <si>
    <t>GCS SWITCH CABINET CONNECTOR CONTACT,25 SQMM, LENGTH-500mm, MODEL:SYJ-25-100</t>
  </si>
  <si>
    <t>GCS SWITCH CABINET CONNECTOR CONTACT,16 SQMM, LENGTH-800mm, MODEL:SYJ-16-63</t>
  </si>
  <si>
    <t>GCS SWITCH CABINET CONNECTOR CONTACT,16 SQMM, LENGTH-500mm, MODEL:SYJ-16-63</t>
  </si>
  <si>
    <t>SWITCH CABINET WITHDRAWABLE MODULE OPERATION HANDLE WITH MECHANISM(OFF,TEST,MOVE,ISOLATED) GCS/MNS LV SWITCHGEAR.</t>
  </si>
  <si>
    <t>SWITCH CABINET MAIN SWITCH OPERATION HANDLE 1B WITH MECHANISM(ON,TRIP,OFF,RESET) GCS/MNS LV SWITCHGEAR.</t>
  </si>
  <si>
    <t>SWITCH CABINET MAIN SWITCH OPERATION HANDLE 3B/5B WITH MECHANISM(ON,TRIP,OFF,RESET) GCS/MNS LV SWITCHGEAR.</t>
  </si>
  <si>
    <t>SWITCH CABINET MAIN SWITCH OPERATION HANDLE 4B WITH MECHANISM(ON,TRIP,OFF,RESET) GCS/MNS LV SWITCHGEAR.</t>
  </si>
  <si>
    <t>SWITCH CABINET WITHDRAWABLE MODULE SINGLE OPERATION HANDLE WITH MECHANISM(ON,OFF,TEST,MOVE,ISOLATED) GCS/MNS LV SWITCHGEAR</t>
  </si>
  <si>
    <t>VACCUM CIRCUIT BREAKER, RATED CURRENT= 3150A, ZN63-VS1-3150-40KA, AUX SUPPLY DC220V, 12KV, 50HZ, MODEL: VCB-ZN63-SHTS, DRAW OUT TYPE, MAKE:SHANGHAI HUA TONG SWITCHGEAR.</t>
  </si>
  <si>
    <t>VACCUM CIRCUIT BREAKER, RATED CURRENT= 2000A, ZN63-VS1-2000-40KA,AUX SUPPLY DC220V, 12KV, 50HZ, MODEL: VCB-ZN63-SHTS, RATED OPERATING SEQUENCE:O-180s-CO-180s-CO, DRAW OUT TYPE: MAKE:SHANGHAI HUA TONG SWITCHGEAR.</t>
  </si>
  <si>
    <t>CLOSING COIL DC220V FOR ZN63(VS1)-12KV-2000A VCB (COIL RESISTANCE:210 Ohm)</t>
  </si>
  <si>
    <t>CLOSING COIL DC220V FOR ZN63(VS1)-12KV 1250A VCB (COIL RESISTANCE:160 Ohm)</t>
  </si>
  <si>
    <t>VCB CHASSIS FOR ZN63(VS1) VCB 12KV, 800MM WIDTH CUBICLE, TYPE:DPC-4/4A-800, 652MM, 682MM SIZE, VCB MODEL:VCB-ZN63-SHTS, DRAWOUT TYPE, MAKE:SHANGHAI HUATONG SWITCHGEAR.</t>
  </si>
  <si>
    <t>VCB CHASSIS FOR ZN63(VS1) VCB 12KV, 1000MM WIDTH CUBICLE, TYPE:DPC-4/4A-1000, 852MM, 882MM SIZE, VCB MODEL:VCB-ZN63-SHTS, DRAWOUT TYPE, MAKE:SHANGHAI HUATONG SWITCHGEAR.</t>
  </si>
  <si>
    <t>SPRING CHARGING MOTOR FOR VCB,VCB TYPE: ZN63(VS1),FREQUENCY:50HZ,VOLTAGE:12KV,CAPACITY:2000AMPS,SPRING CHARGE MOTOR VOLTAGE:DC 240V,MODEL:HDZ-20900A,1.0A,90W, 25RPM,S2-1MIN.</t>
  </si>
  <si>
    <t>SPRING CHARGING MOTOR FOR VCB,VCB TYPE:ZN63(VS1),FREQUENCY:50HZ,VOLTAGE:12KV,CAPACITY:1250AMPS,SPRING CHARGE MOTOR VOLTAGE:DC 240V,MODEL:ZYJ220-66-106,0.7A,70W,17RPM,S2-1MIN.</t>
  </si>
  <si>
    <t>INSULATING PULLING ROD FOR VCB POLE SUITABLE FOR 1250A VCB TYPE:ZN63-VS1-12KV.</t>
  </si>
  <si>
    <t>ANTI PUMPING DEVICE FOR ZN63-VS1-12KV WITHDRAWABLE VCB OF 1250A VCB, AUX. SUPPLY:220V DC, VCB MAKE:SHANGHAI HUATONG SWITCHGEAR.</t>
  </si>
  <si>
    <t>ANTI PUMPING DEVICE FOR ZN63-VS1-12KV VCB OF 2000A VCB, AUX.SUPPLY:220V DC, VCB MAKE:SHANGHAI HUATONG SWITCHGEAR.</t>
  </si>
  <si>
    <t>Liyond</t>
  </si>
  <si>
    <t>Distance between Phase to be confirmed</t>
  </si>
  <si>
    <t>Size to be confirmed as per trailing email</t>
  </si>
  <si>
    <t>Number of NO &amp; NC to be confirmed</t>
  </si>
  <si>
    <t>Lock Type to confirmed</t>
  </si>
  <si>
    <t>Dimensions to be confirmed</t>
  </si>
  <si>
    <t>OIL SEAL,SIZE: 315 X 365 X 20,  TYPE: C</t>
  </si>
  <si>
    <t>OIL SEAL SLEEVE (SHAFT SLEEVING FOR ROLLER ), FOR COAL MILL ZGM 95N</t>
  </si>
  <si>
    <t>GRINDING ROLLER ASSEMBLY  FOR COAL MILL TYPE ZGM 95N Make BPEG ( Without Roller Tyre (Sleeve)</t>
  </si>
  <si>
    <r>
      <rPr>
        <b/>
        <u/>
        <sz val="10"/>
        <rFont val="Calibri"/>
        <family val="2"/>
        <scheme val="minor"/>
      </rPr>
      <t>Terms &amp; Conditions</t>
    </r>
    <r>
      <rPr>
        <sz val="10"/>
        <rFont val="Calibri"/>
        <family val="2"/>
        <scheme val="minor"/>
      </rPr>
      <t xml:space="preserve">
Offer Basis FOR Plant Basis.
Delivery Time: 18 weeks from date of receipt of confirm PO.
G/Warranty: 12 months from date of  DISPATCH - only for manufacturing defects
Payment Terms: 100% along with taxes etc against PI, prior to delivery at site.
Offer Validity: 31 days from date of offer.
Any statutory changes in rate of tax etc will be applicable as on date of dispatch.
Minimum Order Qty: N/A
Standard packaging will be done for supply of above items.
Our offer confirm for 100% fitment &amp; interchangeability of offered products. In case of any discrepancy, we will replace items promptly for free of cost. </t>
    </r>
  </si>
  <si>
    <t>COOLING BLOWER FOR DRY TYPE TRANSFORMER, TYPE:GFDD 470-155, 1-PHASE,240V AC 50HZ, 1400RPM, POWER:80W, AIR FLOW:1000M3/HR, SIDE BLOWING.</t>
  </si>
  <si>
    <t>COOLING BLOWER FOR DRY TYPE TRANSFORMER, TYPE:GFD(S) 470-110, 1-PHASE,240V AC 50HZ, POWER:40W, AIR FLOW:570M3/HR, SIDE BLOWING.</t>
  </si>
  <si>
    <t>COOLING BLOWER FOR DRY TYPE TRANSFORMER, TYPE:GFD(S) 365-110, 1-PHASE,240V AC 50HZ, 1400RPM, POWER:40W, AIR FLOW:500M3/HR, SIDE BLOWING.</t>
  </si>
  <si>
    <t>INSULATOR, FOR  GENERATOR BUS H=220MM W-NZ-1-19</t>
  </si>
  <si>
    <t>TEMPERATURE CONTROLLER  JYZ-60x50  FOR DRY TYPE TRANSFORMER</t>
  </si>
  <si>
    <t>TEMPERATURE CONTROLLER MODEL NO. BWDK-2608B INPUT POWER SUPPLY: 230-250 VAC TEMPERATURE MEASUREMENT RANGE: 0-200 DEG C DIMENSION: 260X200X80 MM(MICRO COMPUTER CONTROLLER FOR DRY TYPE TRANSFORMER)</t>
  </si>
  <si>
    <t>Need item pic</t>
  </si>
  <si>
    <t>COK CARD FOR MFC2000-2 HIGH SPEED BUS POWER SUPPLY TRANSFER RELAY-WISCOM ELECTRICAL CO.,LTD. MODEL:MFC2000-2 COK-V103. TYPE:YTM-90103-02</t>
  </si>
  <si>
    <t>I/O CARD FOR MFC2000-2 HIGH SPEED BUS POWER SUPPLY TRANSFER RELAY-WISCOM ELECTRICAL CO.,LTD. MODEL:MFC2000-2 COK-V103. TYPE:YTM-90103-02</t>
  </si>
  <si>
    <t>POWER CARD FOR STAND BY SWITCHING POWER RELAY AUTO BACK UP POWER SWITCHING DEVICE MODEL DCAP 3232 DCP400-DY1-301-V103-2003/7/18-WISCOM,EMDCP-303</t>
  </si>
  <si>
    <t>STAND BY SWITCHING POWER RELAY AUTO BACK UP POWER SWITCHING DEVICE MODEL DCAP 3232</t>
  </si>
  <si>
    <t xml:space="preserve">POWER CARD - JZ8 065 010 220V DC INTELLIGENT MONITOR EQUIPMENT </t>
  </si>
  <si>
    <t>DISPLAY CARD - DMF50081 FOR 220V DC INTELLIGENT MONITOR EQUIPMENT</t>
  </si>
  <si>
    <t>TOTAL CONNECT BOARD OF INTELLIGENCE MONITOR, JZ-S1B-11 FOR 220V DC BATTERY CHARGER</t>
  </si>
  <si>
    <t>PHASE LOSS PROTECTION MODULE MODEL:WK-2 CN0504 FOR DL ACTUATOR OF DZW SERIES.</t>
  </si>
  <si>
    <t>ELECTRONIC CARD ATC 20A -ZK  FOR ESP MAKE FUJIAN LONGKING LTD CHINA</t>
  </si>
  <si>
    <t>SOV FOR LIFTING VALVE 5/2 WAY,
PRESSURE:  0.1 to 1MPA,
SINGLE COIL 24 VDC,
EQUIVALENT TO MAKE :FANGDA,
MODEL : Q25DC-L15
Cylinder Model-10A__FA160B600A6</t>
  </si>
  <si>
    <t>SOV FOR BYPASS VALVE 5/2 WAY,
PRESSURE:  0.15 to 0.8MPA,
SINGLE COIL 24 VDC,
EQUIVALENT TO MAKE :FANGDA,
MODEL : DQK-1442
Cylinder Model-10A-2 fa250B700</t>
  </si>
  <si>
    <t>PLOUGH FEEDER MOTOR ACTUATOR, MODEL-DTZA-1000-50, POWER-1.5 KW, THRUST-10KN, TRAVEL-50CM,SPEED-42mm/s, MOTOR DRIVEN-PUSH ROD</t>
  </si>
  <si>
    <t>LOAD CELL FOR COAL FLOW SIWAREX R LOAD CELL SERIES BB 
Bellows sensor replacement model:7MH5106-3AD01
MAKE SIEMENS</t>
  </si>
  <si>
    <t>Regret</t>
  </si>
  <si>
    <t>Obsolete &amp; no replacement</t>
  </si>
  <si>
    <t>Refer next item</t>
  </si>
  <si>
    <t>Power card &amp; display card together as 1 set</t>
  </si>
  <si>
    <t>Refer below</t>
  </si>
  <si>
    <t>Yoyocart</t>
  </si>
  <si>
    <t>India</t>
  </si>
  <si>
    <t>TISSIN MAKE PNEUMATIC POSITIONER WITH LINK FOR LINEAR APPLICATION
TISSIN MAKE SMART ELECTROPENUMATIC POSITIONER
MODEL-TS800RN3S10
ACTING TYPE- LINEAR
EXPLOSION PROOF TYPE - NON-EXPLOSION PROOF
CONDUIT ENTRY - NPT1/2
AIR CONNECTION - NPT1/4
LEVER-10-80MM
AMBIENT TEMP.- ( -30 ) TO 85 DEG.C
COMMUNICATION - 4-20 mA POSITIONER TRANSMITTER
LIMIT SWITCH-NONE
WITH SUITABLE GAUGE &amp; LINK</t>
  </si>
  <si>
    <t>SHAFT VIBRATION PROBE (5 Mtr cable)WITH CONVERTER,
MODEL-PR6423/010-110,
MEASURING RANGE  -1 TO 1 MM,FREQUENCY RANGE 012KHZ, SENSITIVITY 8V/MM,TEMP RANGE- 0 TO 180 DEGREE,
NC CODE 9200-00079N</t>
  </si>
  <si>
    <t>SHAFT POSITION PROBE(5 Mtr cable)WITH CONVERTER
MAKE - EPRO MODEL- PR6424/010-000
MEASURING RANGE - +/-2.0 MM,FREQUENCY RANGE:012 KHZ,SENSITIVITY:4 V/MM,TEMPERATURE RANGE:180DEG, NC9200-03014</t>
  </si>
  <si>
    <r>
      <rPr>
        <b/>
        <u/>
        <sz val="10"/>
        <rFont val="Calibri"/>
        <family val="2"/>
        <scheme val="minor"/>
      </rPr>
      <t>Terms &amp; Conditions</t>
    </r>
    <r>
      <rPr>
        <sz val="10"/>
        <rFont val="Calibri"/>
        <family val="2"/>
        <scheme val="minor"/>
      </rPr>
      <t xml:space="preserve">
Offer Basis FOR Plant Basis.
Delivery Time: Item 1 in 11 to 13 &amp; item 2 in 20-24 weeks from date of receipt of confirm PO.
G/Warranty: 12 months from date of  DISPATCH - only for manufacturing defects
Payment Terms: 100% along with taxes etc against PI, prior to delivery at site.
Offer Validity: 31 days from date of offer.
Any statutory changes in rate of tax etc will be applicable as on date of dispatch.
Minimum Order Qty: N/A
Standard packaging will be done for supply of above items.
Our offer confirm for 100% fitment &amp; interchangeability of offered products. In case of any discrepancy, we will replace items promptly for free of cost. </t>
    </r>
  </si>
  <si>
    <t xml:space="preserve">SERVO VALVE MAKE-MOOG MODEL: J761-003 TYPE S63JOGA4VPL, </t>
  </si>
  <si>
    <t>CONNECTOR PART NO 49054FI4S2S SUITABLE FOR MOOG VALVE MODEL J761-003A</t>
  </si>
  <si>
    <r>
      <rPr>
        <b/>
        <u/>
        <sz val="10"/>
        <rFont val="Calibri"/>
        <family val="2"/>
        <scheme val="minor"/>
      </rPr>
      <t>Terms &amp; Conditions</t>
    </r>
    <r>
      <rPr>
        <sz val="10"/>
        <rFont val="Calibri"/>
        <family val="2"/>
        <scheme val="minor"/>
      </rPr>
      <t xml:space="preserve">
Offer Basis FOR Plant Basis.
Delivery Time:8 to 12 weeks from date of receipt of confirm PO.
G/Warranty: 12 months from date of  DISPATCH - only for manufacturing defects
Payment Terms: 100% along with taxes etc against PI, prior to delivery at site.
Offer Validity: 31 days from date of offer.
Any statutory changes in rate of tax etc will be applicable as on date of dispatch.
Minimum Order Qty: N/A
Standard packaging will be done for supply of above items.
Our offer confirm for 100% fitment &amp; interchangeability of offered products. In case of any discrepancy, we will replace items promptly for free of cost. </t>
    </r>
  </si>
  <si>
    <t xml:space="preserve">	5401000006</t>
  </si>
  <si>
    <t>CARBON BRUSH, 25 X 32 X100 D-172 FOR GENERATOR W-HD-1-06
CARBON BRUSH FOR STEAM TURBINE GENERATOR EXCITATION CURRENT, SIZE:25x32x100MM, BRUSH GRADE:NCC634, RATED CURRENT DENSITY:12.6A/cm2, MAKE:MORGAN</t>
  </si>
  <si>
    <t>Jane</t>
  </si>
  <si>
    <t>NA</t>
  </si>
  <si>
    <t>DIGITAL GENERATOR TRANSFORMER PROTECTION, 
TYPE: DGT801B AUXILIARY SUPPLY: 220V DC</t>
  </si>
  <si>
    <t>CPU-C CARD (Latest Version) FOR DGT801B 
GENERATOR TRANSFORME PROTECTION RELAY MAKE: GUODIAN NANJING AUTO MATION CO. LTD, MODEL- LY2K6202 ALONG WITH SOM-4450 REV.A1 AND COMPATIBLE RAM OF MINIMUM 128MB CAPACI TY FOR SOM-4450  REV. A1</t>
  </si>
  <si>
    <t>INCH</t>
  </si>
  <si>
    <t>Target</t>
  </si>
  <si>
    <t>LPO</t>
  </si>
  <si>
    <t>SIEMENS MILLTRONICS BW500/SF500 KEYPAD SPARE, PART NO:7MH7723-1CS</t>
  </si>
  <si>
    <t>SIEMENS MILLTRONICS BW500 INTEGRATOR FOR COAL FEEDER
Upgrade Mode 7MH7152-2BA00-2AA</t>
  </si>
  <si>
    <t>GST 
!8%</t>
  </si>
  <si>
    <t>TM0180-08-00-07-10-02</t>
  </si>
  <si>
    <t>TM0181-040-01</t>
  </si>
  <si>
    <t>DTM10-A0-B0-E00-M1-S0</t>
  </si>
  <si>
    <t>TM0180-07-00-05-50-02</t>
  </si>
  <si>
    <t>TM0182-A50-B00-C00</t>
  </si>
  <si>
    <t>DM504-00-00</t>
  </si>
  <si>
    <t>HTW</t>
  </si>
  <si>
    <t>Electrode Water Level Gauge,
Model No. DQS-76,  19 Points (+250 to - 250 )</t>
  </si>
  <si>
    <t>GST Rate 18% applicable against HSN: 8402</t>
  </si>
  <si>
    <t>Conductivity Analyzer, Model No:HK-338, Make: Huakeyi
Measure range: (0.00?200.0) μS/cm,
Power supply: AC (85?265）V, Output current:(4?20) Ma,</t>
  </si>
  <si>
    <t>Torque card.
CHANGZHOU SCHNEIDER ACTUATOR, OPERATION :INCHING TYPE, TYPE: SND-Z60-18S, SPEED :18R/MIN, TORQUE: 600N-M, POWER SUPPLY: 415V, 50HZ,3PH, IP68, MOTOR POWER :1.1KW,4A,4POLES, DUTY:S2-15, SERIAL NO:73148, Torque : 60 Kg.</t>
  </si>
  <si>
    <t>SCR Firing card 
For UPS Model No. 3S   
ID:7700-1501-1401.
UPS Make – Protek, USA.
S.No.07099042
I/P – 415/240V, 3pP4W, 50hZ.
O/P – 240V, 1P2W, 20HZ.</t>
  </si>
  <si>
    <t>POWER CURRENT COLLECTOR,
PART NO JD-6-25
FOR AHP CONCENTRATOR</t>
  </si>
  <si>
    <t>ELECTRONIC CARD ATC 20A -ZK  FOR ESP MAKE FUJIAN LONGKING LTD CHINA</t>
  </si>
  <si>
    <t>PR/22/58</t>
  </si>
  <si>
    <t>CONTROL UNIT FOR  ACTUATOR TYPE:DMC 59  PART NUMBER: 256516, MAKE:DREHMO</t>
  </si>
  <si>
    <t>CONTROL UNIT FOR  ACTUATOR TYPE:DMC 59 PART NUMBER: 256519, MAKE:DREHMO</t>
  </si>
  <si>
    <t>CONTROL UNIT FOR  ACTUATOR TYPE:DMC 59 PART NUMBER: 257285, MAKE:DREHMO</t>
  </si>
  <si>
    <t>CONTROL UNIT FOR  ACTUATOR TYPE:DMC 120 PART NUMBER: 256516, MAKE:DREHMO</t>
  </si>
  <si>
    <t>CONTROL UNIT FOR  ACTUATOR TYPE:DMC 249 PART NUMBER: 256516, MAKE:DREHMO</t>
  </si>
  <si>
    <t>CONTROL UNIT FOR  ACTUATOR TYPE:DMC 500  PART NUMBER: 256517, MAKE:DREHMO</t>
  </si>
  <si>
    <t>BFP DISCHARGE MOV CARD -0800493 2QMBV2 ACTUATOR TYPE- ZA5/TIN</t>
  </si>
  <si>
    <t>TRIPPING COIL DC220V FOR ZN63(VS1)-12KV 1250A VCB (COIL RESISTANCE:160 Ohm)</t>
  </si>
  <si>
    <t>DIGITAL AMMETER PZ951-3X1, 80-270 VOLT, 200A / DC 75MV, CLASS-0.5
DIGITAL AMMETER PA1 95I-3X1, 80-270 VOLT, 200A / DC 75MV, CLASS-0.5, PANEL DC AMMETER, INPUT:75mV, WITH ANALOG OUTPUT:4-20mA, AUX. SUPPLY:80-270V AC/DC, SIZE:83x83MM(PANEL), 76x76MM(CUTOUT) OR 96X96MM
ORIGINAL MAKE: SFERE (JIANGSU SFERE ELECTRIC CO. LTD)).
Mode: PZ951-3X1</t>
  </si>
  <si>
    <t>PR/22/11</t>
  </si>
  <si>
    <t>GST 
18%</t>
  </si>
  <si>
    <t>Installed Item Pic required</t>
  </si>
  <si>
    <t>PR/22/91</t>
  </si>
  <si>
    <t>PROCESSOR MODULE MODEL-ZFDT-VIII, MAKE : HARBIN BOILER CHINA</t>
  </si>
  <si>
    <t>IXYS MOSFET (AS PER PICTURE PROVIDED) IXFK26N60Q, SP0625, TM6005</t>
  </si>
  <si>
    <t>POWER MODULE (AS PER PICTURE PROVIDED) , MAKE: HARVEST, HAT10-0512-NFCI-A, VIN: 165 - 300V AC, VOUT:5V/1.60A +/- 12V/0.10A</t>
  </si>
  <si>
    <t>DC FEEDER  INSULATION  MONITORING RELAY FOR 220V DCDB CUM BATTERY CHARGER PANEL (CT BASED)</t>
  </si>
  <si>
    <t>IDCB – 4E/DR/Y, INTELLIGENCE DATA COLLECTS MEASURE CONTROL MODULE, 20 CHANNEL ANALOG DIFFERENTIAL INPUT THREE-TERMINAL (THERMOCOUPLE), COMMUNICATION INTERFACE STANDARD RS-485, POWER INPUT – 230 V AC, MAKE – WUXI HUADONG ELECTRIC</t>
  </si>
  <si>
    <t>3D LEVEL SCANNER-II ACOUSTIC TYPE, MAKE- APM ,POWER SUPPLY :20- 30 VOLT DC , PROTECTION: IP67 ,PROCESS TEMPERATURE: 40-85 DEG C PROCESS PRESSURE:0.2-1 BAR ELECTRONIC: 4-20MA/HART/RS485/MODBUS ,  RANGE: 0- 9 MTR, OUTPUT:RELAY CONTACT: 1NO+1NC FOR HIGH LEVEL WITH LOCAL DISPLAY</t>
  </si>
  <si>
    <t>ebay</t>
  </si>
  <si>
    <t>MOV FEEDBACK CARD, FOR SHANGHAI MULTI TURN ELECTRIC VALVE ACTUATOR, TYPE:11AI, WIRING DIAG:WD3100-000, SERIAL NO:SR39333, SPEED RANGE:24 R/MIN, RATED TORQUE:68 NM MAKE-SHANGHAI ACTUATORS
Comprises of upgraded Main control card &amp; Analog Card- as per user pics</t>
  </si>
  <si>
    <t>Closing/Tripping Coil
For 220KV SF6 Breaker LW35-252,
Coil Voltage 220V DC, Current 1.95A, Resistance : 114.5 Ohms,
Make : Pinggao Group High Voltage Switch Gear Co. China</t>
  </si>
  <si>
    <t>PRESSURE DIFFERENCE SWITCH FOR OIL FILTER , PART NO.SO-02,MAKE FEIHE,FOR INSTRUMENT AIR COMPRESSOR</t>
  </si>
  <si>
    <t>LVDT MAKE : SHIZHONG, MODEL : 1000TD ,             0-50 MM ,</t>
  </si>
  <si>
    <t>DIGITAL AMMETER PZ951-3X1, 80-270 VOLT, 200A / DC 75MV, CLASS-0.5
DIGITAL AMMETER PA1 95I-3X1, 80-270 VOLT, 200A / DC 75MV, CLASS-0.5, PANEL DC AMMETER, INPUT:75mV, WITH ANALOG OUTPUT:4-20mA, AUX. SUPPLY:80-270V AC/DC, SIZE:83x83MM(PANEL), 76x76MM(CUTOUT) OR 96X96MM
ORIGINAL MAKE: SFERE (JIANGSU SFERE ELECTRIC CO. LTD)). ANY INDIAN STANDARD</t>
  </si>
  <si>
    <t>AIR FILTER ELEMENT FOR SCREW AIR COMPRESSOR FHOG340W-N42/0.75 Q=42M3 /MIN P=0.75MPA</t>
  </si>
  <si>
    <t>AIR OIL SEPARATOR FINE FILTER ELEMENT FOR SCREW AIR COMPRESSOR FHOG340W-N42/0.75 Q=42M3 /MIN P=0.</t>
  </si>
  <si>
    <t>MINIMUM PRESSURE RELIEF VALVE DF40-04-06 FOR COMPRESSOR MODEL FHOG340W</t>
  </si>
  <si>
    <t>SHEILD RING FOR HOLE DF 20-02-0414 FOR COMPRESSOR MODEL FHOG340W</t>
  </si>
  <si>
    <t>SHEILD RING FOR SHAFT DF 20-02-0415 FOR COMPRESSOR MODEL FHOG340W</t>
  </si>
  <si>
    <t>Star Wheel  SLICE DF40-02-0449 FOR COMPRESSOR MODEL FHOG340W</t>
  </si>
  <si>
    <t>IMPELLER FOR ASH WATER PUMP 100ZZ-46</t>
  </si>
  <si>
    <t>FRONT PROTECTION COVER FOR ASH WATER PUMP 100ZZ-46</t>
  </si>
  <si>
    <t>SLEEVE(100ZZ-50-02) FOR ASH WATER PUMP 100ZZ-46</t>
  </si>
  <si>
    <r>
      <rPr>
        <b/>
        <u/>
        <sz val="10"/>
        <rFont val="Calibri"/>
        <family val="2"/>
        <scheme val="minor"/>
      </rPr>
      <t>Terms &amp; Conditions</t>
    </r>
    <r>
      <rPr>
        <sz val="10"/>
        <rFont val="Calibri"/>
        <family val="2"/>
        <scheme val="minor"/>
      </rPr>
      <t xml:space="preserve">
Offer Basis FOR Plant Basis.
Delivery Time:14 to 16 weeks from date of receipt of confirm PO.
G/Warranty: 12 months from date of  DISPATCH - only for manufacturing defects
Payment Terms: 100% along with taxes etc against PI, prior to delivery at site.
Offer Validity: 31 days from date of offer.
Any statutory changes in rate of tax etc will be applicable as on date of dispatch.
Minimum Order Qty: N/A
Standard packaging will be done for supply of above items.
Our offer confirm for 100% fitment &amp; interchangeability of offered products. In case of any discrepancy, we will replace items promptly for free of cost. </t>
    </r>
  </si>
  <si>
    <t>INNER DIA 2.0mm GLASS PINKEVITCH Viscometer tube</t>
  </si>
  <si>
    <t>INNER DIA 1.0mm GLASS PINKEVITCH Viscometer tube</t>
  </si>
  <si>
    <t>INNER DIA 1.5mm GLASS PINKEVITCH Viscometer tube</t>
  </si>
  <si>
    <t>INNER DIA 1.2mm GLASS PINKEVITCH Viscometer tube</t>
  </si>
  <si>
    <r>
      <rPr>
        <b/>
        <u/>
        <sz val="10"/>
        <rFont val="Calibri"/>
        <family val="2"/>
        <scheme val="minor"/>
      </rPr>
      <t>Terms &amp; Conditions</t>
    </r>
    <r>
      <rPr>
        <sz val="10"/>
        <rFont val="Calibri"/>
        <family val="2"/>
        <scheme val="minor"/>
      </rPr>
      <t xml:space="preserve">
Offer Basis FOR Plant Basis.
Delivery Time:8 to 10 weeks from date of receipt of confirm PO.
G/Warranty: 12 months from date of  DISPATCH - only for manufacturing defects
Payment Terms: 100% along with taxes etc against PI, prior to delivery at site.
Offer Validity: 31 days from date of offer.
Any statutory changes in rate of tax etc will be applicable as on date of dispatch.
Minimum Order Qty: N/A
Standard packaging will be done for supply of above items.
Our offer confirm for 100% fitment &amp; interchangeability of offered products. In case of any discrepancy, we will replace items promptly for free of cost. </t>
    </r>
  </si>
  <si>
    <t>AUTOMATIC SYNCHRONISER MODEL :SID-2 CM-S INPUT :AC/DC 110-220V. MAKE: SHENTHEN INTELLIGENT DEVICE DEVELOPMENT CO LTD</t>
  </si>
  <si>
    <t>MULTI FUNCTION SINCHROSCOPE MODEL :SID-2SL-A INPUT : POWER SUPPLY 110 TO 220V DC.   MAKE: SHENTHEN INTELLIGENT DEVICE DEVELOPMENT CO LTD</t>
  </si>
  <si>
    <t>RELAY PCK TOP9140G-20C. MAKE: ZHUHAI TOP INTELLIGENT INSTRUMENT CO. LTD.</t>
  </si>
  <si>
    <t>RELAY POWER CARD FOR PCK TOP9140G-20C. MAKE: ZHUHAI TOP INTELLIGENT INSTRUMENT CO. LTD.</t>
  </si>
  <si>
    <t>DCS CONTROLLER FCP 270, FIELD CONTROL PROCESSOR P0917YZ OT RY10184788 MAC 22675C, MADE IN MEXICO, SHAD HARD PART: P0917YZ, SHAD HARD REV: 0T</t>
  </si>
  <si>
    <t>Note: For item No 4- Since the required item is obsolete, so we are working on same to provide one to one replacement for same.</t>
  </si>
  <si>
    <t>C&amp;I/239</t>
  </si>
  <si>
    <t>EMD/252</t>
  </si>
  <si>
    <t>SCR FIRING CARD OF 100 KVA UPS, 
MODEL NO. 3S, ID- 7700-1501-1401, 
UPS MAKE- PROTEK, USA, I/P- 415/240V, 
3PP4W, 50HZ, O/P- 240V, 1P2W, 50HZ</t>
  </si>
  <si>
    <t>CONTROL LOGIX 2MB CONTROLLER 
1756 - L 71 , ROCKWELL AUTOMATION</t>
  </si>
  <si>
    <t>PR/VSLPPL/22-23/MMD/241</t>
  </si>
  <si>
    <t>PR/VSLP/21-22/C&amp;I/097</t>
  </si>
  <si>
    <t>SERVO CARD, MODEL NO. DMSVC003
Make-DEC</t>
  </si>
  <si>
    <t>Gear Reducer with Motor
AOTOU REDUCER,
TYPE: NMRV075-F1-YYP2.2,
I= 50, P1=2.2,
MAKE: SHANGHI AOTOU TRANSMISSION MACHINERY CO. LTD.
FOR LIME STONE ROTARY RAV GEAR BOX</t>
  </si>
  <si>
    <t>Sungme</t>
  </si>
  <si>
    <t>MOP shaft
D125A-511100A,
Make: DongFang Turbine</t>
  </si>
  <si>
    <t>MOP impeller,
Part Number: D125A-511000A
Make: DongFang Turbine</t>
  </si>
  <si>
    <r>
      <rPr>
        <b/>
        <u/>
        <sz val="10"/>
        <rFont val="Calibri"/>
        <family val="2"/>
        <scheme val="minor"/>
      </rPr>
      <t>Terms &amp; Conditions</t>
    </r>
    <r>
      <rPr>
        <sz val="10"/>
        <rFont val="Calibri"/>
        <family val="2"/>
        <scheme val="minor"/>
      </rPr>
      <t xml:space="preserve">
Offer Basis FOR Plant Basis.
Delivery Time:12 to 14 weeks from date of receipt of confirm PO.
G/Warranty: 12 months from date of  DISPATCH - only for manufacturing defects
Payment Terms: 100% along with taxes etc against PI, prior to delivery at site.
Offer Validity: 31 days from date of offer.
Any statutory changes in rate of tax etc will be applicable as on date of dispatch.
Minimum Order Qty: N/A
Standard packaging will be done for supply of above items.
Our offer confirm for 100% fitment &amp; interchangeability of offered products. In case of any discrepancy, we will replace items promptly for free of cost. </t>
    </r>
  </si>
  <si>
    <t>SOV FOR LIFTING VALVE 5/2 WAY, PRESSURE:  0.1 to 1MPA, SINGLE COIL 24 VDC, EQUIVALENT TO MAKE :FANGDA, MODEL : 10A-2 fa250B700</t>
  </si>
  <si>
    <t>CONTROL UNIT FOR  ACTUATOR TYPE:DMC 59  PART NUMBER: 256516, MAKE:DREHMO</t>
  </si>
  <si>
    <t>CONTROL UNIT FOR  ACTUATOR TYPE:DMC 59 PART NUMBER: 256519, MAKE:DREHMO</t>
  </si>
  <si>
    <t>CONTROL UNIT FOR  ACTUATOR TYPE:DMC 59 PART NUMBER: 257285, MAKE:DREHMO</t>
  </si>
  <si>
    <t>CONTROL UNIT FOR  ACTUATOR TYPE:DMC 120 PART NUMBER: 256516, MAKE:DREHMO</t>
  </si>
  <si>
    <t>CONTROL UNIT FOR  ACTUATOR TYPE:DMC 249 PART NUMBER: 256516, MAKE:DREHMO</t>
  </si>
  <si>
    <t>CONTROL UNIT FOR  ACTUATOR TYPE:DMC 500  PART NUMBER: 256517, MAKE:DREHMO</t>
  </si>
  <si>
    <t>FLAME SCANNER AMPLIFIER MODEL-ZFDT-V-I  (WITHOUT LENS, FIBER CABLE AND OTHER MECHANICAL PART)  
OEM PART NO. :ZFDT-V-V ,
MAKE : HARBIN BOILER CHINA</t>
  </si>
  <si>
    <t>Target USD</t>
  </si>
  <si>
    <t>SOLENOID VALVE 5/2 WAY, DOUBLE ACTING, MAKE- BELLOFRAM, 
MODEL-SR551-DN26DW, MAX. PRESSURE- 8 BAR.
COIL VOLTAGE-240VAC,FOR OIL GUN
OR EQUIVALENT</t>
  </si>
  <si>
    <t>GENERATOR TRANSFORMER PROTECTION RELAY
TYPE:LY-32 RELAY BOX
MAKE:GUDIAN NANGING AUTOMATION CO.LTD</t>
  </si>
  <si>
    <t>SUPPORT INSULATOR FOR ESP FIELD HV CONEECT/ISOLATING/GROUNDING SWITCH BOX SUPPORT INSULATOR, VOLTAGE:110KV</t>
  </si>
  <si>
    <t>ELECTRONIC CARD TXFPB VER 1.2, COMMUNICATION DISTRIBUTION BOARD OF RAPPER/HEATER CONTROL PANEL FOR ESP MAKE FUJIAN LONGKING LTD CHINA.</t>
  </si>
  <si>
    <t>COMM-K COMMUNICATION MODULE OF RAPPER CONTROL PANEL FOR ESP MAKE FUJIAN LONGKING LTD CHINA</t>
  </si>
  <si>
    <t>AZD-ZK MAIN CONTROL BOARD OF RAPPER CONTROL PANEL FOR ESP MAKE FUJIAN LONGKING LTD CHINA. OEM: FUJIAN LONGKING LTD CHINA</t>
  </si>
  <si>
    <t>ELECTRONIC CARD ATC 20A -ZK MAIN CONTROL BOARD OF HEATER CONTROL PANEL FOR ESP MAKE FUJIAN LONGKING LTD CHINA.OEM: FUJIAN LONGKING LTD CHINA.</t>
  </si>
  <si>
    <t>CONTROL CARD FOR ESP TRANSFORMER TRQY7, 1.2AMP,66KV FOR ESP
USAGE- HV CONTROL PANEL, FEED BACK CARD HV CURRENT VOLTAGES (INSTALLED AT TR SET)</t>
  </si>
  <si>
    <t>HP REAR GLAND SEAL AS PER DRWING NO (WP)D135A-162000C</t>
  </si>
  <si>
    <t>HIP INTERMEDIATE GLAND SEAL AS PER DRWING NO (WP)D135D-163000A</t>
  </si>
  <si>
    <t>IP REAR GLAND SEAL AS PER DRWING NO (WP)D135A-164000C</t>
  </si>
  <si>
    <t>LP HEAD AND REAR GLAND SEAL AS PER DRWING NO (WP)D125A-165000A</t>
  </si>
  <si>
    <t>GENERAL DRAWING OF HP REAR GLAND SEAL RING AS PER DRWING NO (WP)D135A-166000C</t>
  </si>
  <si>
    <t>GENERAL DRAWING OF HIP INTERMEDIATE GLAND SEAL AS PER DRWING NO (WP)D135C-167000A</t>
  </si>
  <si>
    <t>GENERAL DRAWING OF IP REAR GLAND SEAL RING (WP)D135A-168000C</t>
  </si>
  <si>
    <t>GENERAL DRAWING OF LP HEAD AND REAR GLAND SEAL AS PER DRWING NO (WP)D135A-169000B</t>
  </si>
  <si>
    <t>MILLTRONICS BW500 CONTROLLER WITH AXILLARY INPUT/OUTPUT BOARD.
MLFB NO. : 7MH7152-2BA00-2AA
MAKE: SIEMENS</t>
  </si>
  <si>
    <t>Dryer HMI, Model No: XJK-XG2E4, XG-213213        (Heated Regenerative Desiccant)
With RTD sensor</t>
  </si>
  <si>
    <r>
      <rPr>
        <b/>
        <u/>
        <sz val="10"/>
        <rFont val="Calibri"/>
        <family val="2"/>
        <scheme val="minor"/>
      </rPr>
      <t>Terms &amp; Conditions</t>
    </r>
    <r>
      <rPr>
        <sz val="10"/>
        <rFont val="Calibri"/>
        <family val="2"/>
        <scheme val="minor"/>
      </rPr>
      <t xml:space="preserve">
Offer Basis FOR Plant Basis.
Delivery Time: 3 to 4 weeks from date of receipt of confirm PO.
G/Warranty: 12 months from date of  DISPATCH - only for manufacturing defects
Payment Terms: 100% along with taxes etc against PI, prior to delivery at site.
Offer Validity: 31 days from date of offer.
Any statutory changes in rate of tax etc will be applicable as on date of dispatch.
Minimum Order Qty: N/A
Standard packaging will be done for supply of above items.
Our offer confirm for 100% fitment &amp; interchangeability of offered products. In case of any discrepancy, we will replace items promptly for free of cost. </t>
    </r>
  </si>
  <si>
    <t>"IDCB-4E/DR/Y Intelligence Data Collects Measure Control Module 20 channel analog differential input three-terminal (Thermocouple) Communication Interface Standard RS-485 Power Input-230 V AC Make-Wuxi Huadong Electric"</t>
  </si>
  <si>
    <t>Harvest AC/DC Power card for IDCB ; Input: 165 - 300 VAC ; Output: 5V/1.60A + 12V/0.10A; Model No: HAT10-0512-NFCI-A</t>
  </si>
  <si>
    <r>
      <rPr>
        <b/>
        <u/>
        <sz val="10"/>
        <rFont val="Calibri"/>
        <family val="2"/>
        <scheme val="minor"/>
      </rPr>
      <t>Terms &amp; Conditions</t>
    </r>
    <r>
      <rPr>
        <sz val="10"/>
        <rFont val="Calibri"/>
        <family val="2"/>
        <scheme val="minor"/>
      </rPr>
      <t xml:space="preserve">
Offer Basis FOR Plant Basis.
Delivery Time: 10 weeks from date of receipt of confirm PO.
G/Warranty: 12 months from date of  DISPATCH - only for manufacturing defects
Payment Terms: 100% along with taxes etc against PI, prior to delivery at site.
Offer Validity: 31 days from date of offer.
Any statutory changes in rate of tax etc will be applicable as on date of dispatch.
Minimum Order Qty: N/A
Standard packaging will be done for supply of above items.
Our offer confirm for 100% fitment &amp; interchangeability of offered products. In case of any discrepancy, we will replace items promptly for free of cost. </t>
    </r>
  </si>
  <si>
    <t>PNEUMATIC CONTROL VALVE: Y-TYPE BUTT WELD GLOBE VALVE, SIZE: 50 MM,PRESSURE: 4.0 MPA, TEMPERATURE: 425 C, (FOR CRH AFTER NRV POT DRAIN)
YST665Y-300LB 50mm.4.0mpa</t>
  </si>
  <si>
    <t>PNEUMATIC CONTROL VALVE: Y-TYPE BUTT WELD GLOBE VALVE, 
SIZE: 50 MM, PRESSURE: 15.0 MPA, TEMPERATURE: 550 C, (FOR HRH POT DRAIN)
YST665Y-900LB 50mm.15mpa</t>
  </si>
  <si>
    <t>PNEUMATIC CONTROL VALVE: Y-TYPE BUTT WELD GLOBE VALVE, 
SIZE: 65 MM, PRESSURE: 42.0 MPA, TEMPERATURE: 550 C, (FOR HP BYPASS POT DRAIN)
YST665Y-2500LB 65mm.42mpa</t>
  </si>
  <si>
    <t>ACTUATOR
TST ELECTRIC VALVE
TYPE-QB 60-1 TORQUE-600NM O/P-1RPM
MAKE-SHUNTONG VALVE CO.LTD TIANJIN CHINA</t>
  </si>
  <si>
    <t>TRANSFORMER OLTC REMOTE TAP POSITION INIDICATOR</t>
  </si>
  <si>
    <t>DEH MAIN PUMP PRESSURE BLOCK,TYPE- HPU-V100/A,PRESSURE- 14 MPA,FLOW-100LPM,FLUID- FIRE-RESISTANT OIL,DONGFANG STEAM TURBINE WORK</t>
  </si>
  <si>
    <t>GST Rate 18% applicable against HSN: 8481</t>
  </si>
  <si>
    <t>COOLING BLOWER FOR DRY TYPE TRANSFORMER, 
TYPE: GFDD 470-155, 
1-PHASE,240V AC 50HZ, 1400RPM, POWER:80W, 
AIR FLOW:1000M3/HR &amp; 750M3/HR, SIDE BLOWING.</t>
  </si>
  <si>
    <t xml:space="preserve">COOLING BLOWER FOR DRY TYPE TRANSFORMER, 
TYPE:GFD(S) 470-110,
1-PHASE,240V AC 50HZ, POWER:40W,
AIR FLOW:570M3/HR, SIDE BLOWING. </t>
  </si>
  <si>
    <t xml:space="preserve">COOLING BLOWER FOR DRY TYPE TRANSFORMER
TYPE:GFD(S) 365-110,
1-PHASE,240V AC 50HZ, 1400RPM, POWER:40W, AIR FLOW:500M3/HR, SIDE BLOWING. </t>
  </si>
  <si>
    <t>Double tongue check valve, Size: 125 mm 
(ACLOP DISCHARGE CHECK VLV,125,UH125X2-25)
MOC: Stainless steel</t>
  </si>
  <si>
    <t>SKY CLIMBER MOTOR, FRAME:SM1-V111, 3-PHASE 415V AC 50HZ, 1.7KW, Y-CONNECTION,1350RPM, IP-55</t>
  </si>
  <si>
    <t>ELECTROMAGNETIC ADJUSTABLE SPEED INDUCTION MOTOR, YCT200-4A, 5.5KW 415V 3-PH 50HZ, 35.1 N.m, SPEED:1250-125RPM</t>
  </si>
  <si>
    <t>Model No/
Name Pic Req</t>
  </si>
  <si>
    <t>OIL SEAL 42X72X10 HMSA10RG</t>
  </si>
  <si>
    <t>GST Rate 18% applicable against HSN: 4016</t>
  </si>
  <si>
    <t>OIL FILTER
Part No: DF 20-06-06
FOR COMPRESSOR MODEL FHOG340W</t>
  </si>
  <si>
    <t>SPEED  PROBE  CS-1,G-100-04-01
CS-1-G (High Resistance)-100(Sensor Length)-04(Cable length)-01(Non-full thread shell)</t>
  </si>
  <si>
    <t xml:space="preserve">ANALOG SIGNAL
Part No: MBD 201,
For AVR: SAVR2000  </t>
  </si>
  <si>
    <t xml:space="preserve">CPU CARD
Part No:  MBD 202
For AVR: SAVR2000  </t>
  </si>
  <si>
    <t>GST Rate 18% applicable against HSN: 90329000</t>
  </si>
  <si>
    <t>REPAIR KIT,
for ESP PULSE VALVE 3 INCH, 
PRESSURE RANGE: 100 PSI, Model: TH--4475-B 
FOR ESP BAG FILTER</t>
  </si>
  <si>
    <t xml:space="preserve">SERVO VALVE 
MAKE-MOOG 
MODEL: J761-003 TYPE S63JOGA4VPL, </t>
  </si>
  <si>
    <t>ESP PULSE VALVE 3 INCH, 
PRESSURE RANGE: 100 PSI, Model: TH--4475-B 
FOR ESP BAG FILTER</t>
  </si>
  <si>
    <t>Heat Expansion Controller;
Range: (0-80mm; Accuracy: ±0.03 mm; 
Frequency Response: (0 - 10) Hz, ±1%;
Make: DEA;
Model: DF9032-03-03</t>
  </si>
  <si>
    <t>PRESSURE DIFFERENCE SWITCH FOR OIL FILTER, PART NO.SO-02, MAKE FEIHE, FOR INSTRUMENT AIR COMPRESSOR</t>
  </si>
  <si>
    <t>LVDT MAKE : SHIZHONG, MODEL : 1000TD, 0-50MM.</t>
  </si>
  <si>
    <t>AC CAPACITOR 83 MICRO FARAD -5 TO +10% 440VAC FOR AEG UPS 80KVA PROTECT 5.31</t>
  </si>
  <si>
    <t>DC CAPACITOR 6000 MICRO FARAD +/-20% 315V DC,  ALS31C108NT0615 FOR AEG UPS 80KVA PROTECT 5.31.</t>
  </si>
  <si>
    <t>CONTROL TERMINAL BLOCK (FIXED + MOVING FOR AUXIALLATY CIRUIT OF AIR CIRCUIT BREAKER HA1 SERIES AIR CIRCUIT BREAKER</t>
  </si>
  <si>
    <t>PHASE LOSS PROTECTION MODULE   MODEL : WK-2 CN0504 FOR DL ACTUATOR OF DZW SERIES.</t>
  </si>
  <si>
    <t>CLOSING COIL DC220V FOR ZN63(VS1)-12KV 1250A VCB (COIL RERSISTANCE:160Ohm)</t>
  </si>
  <si>
    <t>TRIPPING COIL DC220V FOR ZN63(VS1)-12KV 1250A VCB (COIL RESISTANCE:160Ohm)</t>
  </si>
  <si>
    <t>GSC CENTRIFUGAL FAN WITH MOTOR, TYPE-AZY.10.30-030.0-01, CAPACITY-160 M3/N, HEAD- 40000 PA, RPM-2900, MOTOR OUTPUT- 11 KW, MOTOR TYPE- THREE PHASE INDUCTION MOTOR, 415V, 50 HZ</t>
  </si>
  <si>
    <t xml:space="preserve">VIBRATION SENSOR, (SENSOR + CONERTOR.+CABLE)
EDDY CURRENT TYPE,
MODEL.NO- CWY-DO-02-01-100
PROBE DIA-8MM,SENSITIVITY-8V/MM,INSTALLATION THREAD-M10x1MM,
PROBE TEMP:  -30 T0120 DEGREE, SUPPLY SOURCE: -24V DC (SENSOR + CONV.+CABLE)  </t>
  </si>
  <si>
    <t xml:space="preserve">ACTIVE ROTARY SPEED SENSOR
MODEL: CS-3-M16-L60
LENGTH: 60MM SENSING
DIST: 2MM CABLE LENGTH:  2MTR FITTIN SIZE:  M16X1
I/P VOLTAGE: 12 VDC   </t>
  </si>
  <si>
    <t>Gina- No OEm</t>
  </si>
  <si>
    <t>ACTUATOR ASSEMBLY WITH MOTOR
MAKE: CHANGZHOU SCHNEIDER ACTURATOR
TYPE: SND-Z60-18S, SERIAL NO:73149
OPERATION :INCHING TYPE, , SPEED :18 R/MIN, TORQUE: 600NM,
POWER SUPPLY: 415V, 50HZ,3PH, IP68, MOTOR POWER :1.1KW, 4A, 4 POLES, DUTY: S2-15,</t>
  </si>
  <si>
    <t>23PRA211</t>
  </si>
  <si>
    <t>23PRA299</t>
  </si>
  <si>
    <t>23PRA274</t>
  </si>
  <si>
    <t>23PRA158</t>
  </si>
  <si>
    <t>23PRA162</t>
  </si>
  <si>
    <t>23PRA163</t>
  </si>
  <si>
    <t>23PRA164</t>
  </si>
  <si>
    <t>23PRA165</t>
  </si>
  <si>
    <t>23PRA226</t>
  </si>
  <si>
    <t>23PRA227</t>
  </si>
  <si>
    <t>23PRA228</t>
  </si>
  <si>
    <t>23PRA258</t>
  </si>
  <si>
    <t>23PRA267</t>
  </si>
  <si>
    <t>23PRA100</t>
  </si>
  <si>
    <t>AQUAMET VOLTMAN WATER METER, 2 INCH, WM, 50MM -500MM (2 ”- 20” ) A REMOVABLE MECHANISM TYPE WOLTMAN WATER METER WITH MAGNETIC DRIVE AND VACUUM SEALED REGISTER.</t>
  </si>
  <si>
    <t>FLOW METER; TYPE: GLASS TUBE ROTAMETER; CAPACITY : 400 LPH; SIZE: 25 NB ASA 150; OUTPUT: (4-20)MA; WORKING TEMPERATURE: AMBIENT; WORKING PRESSURE: 2 KG/CM2; DESIGN PRESSURE: 5 KG/CM2; MOC: SS 316+ PTFE; FLOAT : PTFE; ENCLOSURE: SS; FFD: 500MM; CABLE LENGTH: NIL; MAKE: REPUTED; SERVICE: BRINE SOLUTION.</t>
  </si>
  <si>
    <t>FLOW METER; TYPE: MAGNETIC; CAPACITY: 7.5 M3/HR; OUTPUT:(4 - 20) MA; WORKING TEMPERATURE: AMBIENT: WORKING PRESSURE: 2 KG/CM2; DESIGN PRESSURE: 5 KG/CM2; HOUSING: DIE CAST ALUMINIUM WITH PU FINISH; LINER: PTFE; ELECTRODES: HASTELLOY C22; PROCESS CONNECTION: FLANGED TO ANSI 150# (FULLY WELDED); CABLE LENGTH: NIL; MAKE: KROHNE; SERVICE : FRESH WATER.</t>
  </si>
  <si>
    <t>FLOW METER; TYPE: MAGNETIC; CAPACITY : 400 LPH; SIZE: 25 NB ASA 150; OUTPUT: (4-20)MA; WORKING TEMPERATURE: AMBIENT; WORKING PRESSURE: 2 KG/CM2; DESIGN PRESSURE: 5 KG/CM2; MOC: SS 316+ PTFE;  FLOAT : PTFE; ENCLOSURE: SS; FFD: 500MM; CABLE LENGTH: NIL; SERVICE: BRINE SOLUTION.</t>
  </si>
  <si>
    <t>FLOW METER; TYPE: MAGNETIC; CAPACITY: 7.5 M3/HR; OUTPUT:(4 - 20) MA; WORKING TEMPERATURE: AMBIENT:  WORKING PRESSURE: 2 KG/CM2; DESIGN PRESSURE: 5 KG/CM2; HOUSING: DIE CAST ALUMINIUM WITH PU FINISH; LINER: PTFE; ELECTRODES: HASTELLOY C22; PROCESS CONNECTION: FLANGED TO ANSI 150# (FULLY WELDED); CABLE LENGTH: NIL; SERVICE : FRESH WATER.</t>
  </si>
  <si>
    <t>CHANGZHOU MAKE ACTUATOR ASSEMBLY WITH MOTOR, MAKE: CHANGZHOU, MODEL: SND-Z20-18S, SR NO: 74332,  SPEED-18 RPM, TORQUE- 200 NM, MOTOR- 0.37KW,1.8 AMP., SUPPLY - 415 VOLT, SERVICE: BAC</t>
  </si>
  <si>
    <t>MOOG GOVERNING VALVE, WITH CONNECTOR AND CABLE, MODEL: J761-003A, S/N: 19484, TYPE: S63JOGA4VPL, PP: 4500 PSI, PD: 3000 PSI, SIG. -42.80 TO 37.20 MA</t>
  </si>
  <si>
    <t>RTD-PT100 (DUPLEX TYPE), 3+3 WIRES, CALIBRATION : AS PER STANDARD IEC751,CLASS B, INSULATION: MGO, SHEATH:SS316, OD 6MM, POT SEAL: SS SLEEVE, EXTENSION CABLE:8 MTR LONG,6 CORE,7/36 SWG, TEFLON/TEFLON INSULATED/SS WIRE BRAIDED CABLE, MOUNTING : ¼ INCH BSP(M),SS ADJUSTABLE COMPRESSION FITTING, TOTAL SHEATH LENGTH BELOW POT SEAL 100MM, MAKE-TOSHNIWAL (TIPL)</t>
  </si>
  <si>
    <t>VIBRATION SENSOR WITH TOP CONNECTOR, (LOCAL DISPLAY WITH 2 VIBRATION SENSOR), MEASURING RANGE – (0-20 MM/SEC) RMS, OUTPUT 4-20 MA, MOUNTING : UNIVERSAL TYPE H/V/A -ALL, WITH M6 TO M10X1.5 ADAPTER, POWER SUPPLY 230 VAC, FREQUENCY RANGE 2-1000 HZ, WITH LOCAL DISPLAY WITH 4-20 MA RETRANSMISSION OUTPUT FACILITY TO HOOK-UP DATA WITH DCS. 2 NOS. OUTPUT FOR ALARM ( 6.5 MM/SEC.) &amp; DANGER ( 11.0 MM/SEC.), MODEL NO. - FM-LPS420-50, MAKE – FORBE MARSHALL</t>
  </si>
  <si>
    <t>PRESSURE SWITCH MODEL:PRINCE GH-902-1E-3 DIFF.PRESSURE:13 TO 46 PSI 220 VAC SUPPLY</t>
  </si>
  <si>
    <t>P/N: P0972TS REV: A, S/N: D/C 1010 10516, DES LC-MTRJ. 62.5U ZIP CORD OF NP 15M</t>
  </si>
  <si>
    <t>SOLENOIDE VALVE, MODEL- 4V410-15, PRESSURE- 1.5 TO 8.0 BAR, COILVOLTAGE- 24V DC, MAKE- AIRTECH</t>
  </si>
  <si>
    <t>SOLENOID VALVE, SINGLE COIL TYPE, CONNECTION:1/4", MAKE:AIRTEC MODEL:3V210-08-NC, PRESSURE:1.5-8.0BAR, COIL SUPPLY:220V AC</t>
  </si>
  <si>
    <t>ANALOG INPUT-CURRENWOLTAGE 8 POINT(36 PIN), CAT NO:-1756-IF8A, MAKE -ALLEN BRADLEY</t>
  </si>
  <si>
    <t>TYPE: T-125-2/, TORQUE: 600NM/5BAR, MAKE: PNEUTO</t>
  </si>
  <si>
    <t>LIMIT SWITCH, WLCA 12-2, OMRAN AUTOMATION, MOUSER NO. 653-WLCA12-2, MFR NO. WLCA12-2.</t>
  </si>
  <si>
    <t>PUSH/PULL FITTINGS 1/4” NPT, MAKE-FESTO</t>
  </si>
  <si>
    <t>LVDT, 3000TD, 0-150MM, NO 2100139, MAKE: SHIZHONG.</t>
  </si>
  <si>
    <t>PT 100, DUPLEX, LENGTH: 1 MTR, DIA: 8MM, T42RPO3C85, S NO. 22MR0859</t>
  </si>
  <si>
    <t>"IDCB-4E/DR/Y INTELLIGENCE DATA COLLECTS MEASURE CONTROL MODULE 20 CHANNEL ANALOG DIFFERENTIAL INPUT THREE-TERMINAL (THERMOCOUPLE) COMMUNICATION INTERFACE STANDARD RS-485 POWER INPUT-230 V AC MAKE-WUXI HUADONG ELECTRIC"</t>
  </si>
  <si>
    <t>AC TO DC CONVERTOR SMPS. INPUT VOLTAGE: 85-264V AC, OUTPUT: 24V DC, 4.5A, CHASSIS MOUNTED, VOLTAGE ISOLATION: 3 KV, MODEL NO.LRS-100-24, MAKE: MEAN WELL.</t>
  </si>
  <si>
    <t>THERMOCOUPLE, RANGE 0-600 DEG.C, LENGTH: 12MTR, DIA: 5MM WITH INNER AND OUTER FITTING.</t>
  </si>
  <si>
    <t>THERMOCOUPLE, CR/AL "K" TYPE, 0- 1200DEG.C, LENGTH: 1200MM, T/W: INCONEL, THERMOWELL WITH ADJUSTABLE FLANGE.</t>
  </si>
  <si>
    <t>TEMP TRANSMITTER, INPUT: PT100, 3 WIRE, RANGE:0-200DEG. C, SUPPLY: 9-45VDC, OUTPUT 4-20MA, MAKE: RADIX</t>
  </si>
  <si>
    <t>UNIVERSAL TEMP INDICATOR CUM CONTROLLER, CONTROL TYPE: PID ON/ OFF, NO OF DIGITS 4+7, OUTPUT TYPE: RELAY, SENSOR INPUT: THERMOCOUPLE, RTD,RESOLUTION 0.1 DEGREEC,,VOLTAGE: 220-240 V, ACCURACY +- 0.25% OF FULL SPAN + 1 DEGREE, PHASE SINGLE, IP RATING IP68</t>
  </si>
  <si>
    <t>PRESSURE SWITCH- MODEL NO. – H100-189-QC1, ADJUSTABLE PRESSURE RANGE : 17.2 TO 241.3 BAR, DEAD BAND IS FIXED WITHIN RANGE, LOWER 75% RANGE SPAN: 50 TO 300 PSI, TOP 25% RANGE SPAN: 3.4 TO 20.7 BAR, OVER RANGE : 275.8 BAR, PROOF PRESSURE : 482.6 BAR, SWITCH OUTPUT: SPDT; 15A 125/250/480 VAC RESISTIVE, PRESSURE CONNECTION: 1/2” NPT (FEMALE) ,DIAPHRAGM &amp; PROCESS CONNECTION MOC:316L STAINLESS STEEL, MODEL DECODIFICATION: H100 : ONE SPDT OUTPUT; EPOXY COATED ENCLOSURE; INTERNAL ADJUSTMENT WITH HIGH-LOW REFERENCE SCALE, 189: MODEL SELECTED BASED ON RANGE REQUIRED., QC1: CALIBRATION CERTIFICATE ,MAKE : UE,USA</t>
  </si>
  <si>
    <t>AUTO DRAIN VALVE, SIZE- 1/2" BSF (F) AUTOMATIC DRAIN OF CONDENSATE FROM COMPRESSOR/DRIER TIMER ON: 1-99 SEC, TIMER OFF: 1-99 MIN, ORIFICE 3MM, DISCHARGE 9LTR/MIN AT 6 BAR PRESSURE IN BUILT STRAINER, COIL VOLTAGE: 230V AC</t>
  </si>
  <si>
    <t>MOV FEEDBACK POSITIONER, MAKE: CHANGZHOU, MODEL: SND-Z30-18S, SR NO: 73129,  SPEED-18 RPM, TORQUE- 300 NM, MOTOR- 0.37KW,1.8 AMP., SUPPLY - 415 VOLT</t>
  </si>
  <si>
    <t>MOV DISPLAY CARD, MAKE: CHANGZHOU, MODEL: SND-Z30-18S, SR NO: 73129,  SPEED-18 RPM, TORQUE- 300 NM,  MOTOR- 0.37KW,1.8 AMP., SUPPLY - 415 VOLT</t>
  </si>
  <si>
    <t>MOV RECTIFIER CARD, MAKE: CHANGZHOU, MODEL: SND-Z30-18S, SR NO: 73129, SPEED-18 RPM, TORQUE- 300 NM, MOTOR- 0.37KW,1.8 AMP., SUPPLY - 415 VOLT ,</t>
  </si>
  <si>
    <t>POWER CARD FOR THE ACTUATOR MAKE: CHANG ZHOU SCHNEIDER ACTUATOR,MODEL : SND-Z250-18S, SERIAL NO: 73166, TORQUE: 2500NM, SPEED: 18RPM, VOLT: 415V, FREQUENCY: 50HZ 3PH MOTOR: 3KW, 9AMP, 4POLE IP68, WEIGHT: 200KG, DUTY: S2-15, SERVICE: MAIN STEAM STOP VALVE</t>
  </si>
  <si>
    <t>FEED BACK CARD FOR THE ACTUATOR MAKE: CHANG ZHOU SCHNEIDER ACTUATOR,MODEL : SND-Z250-18S, SERIAL NO: 73166, TORQUE: 2500NM, SPEED: 18RPM, VOLT: 415V, FREQUENCY: 50HZ 3PH MOTOR: 3KW, 9AMP, 4POLE IP68, WEIGHT: 200KG, DUTY: S2-15, SERVICE: MAIN STEAM STOP VALV</t>
  </si>
  <si>
    <t>TORQUE CARD FOR THE ACTUATOR MAKE: CHANG ZHOU SCHNEIDER ACTUATOR,MODEL : SND-Z250-18S, SERIAL NO: 73166, TORQUE: 2500NM, SPEED: 18RPM, VOLT: 415V, FREQUENCY: 50HZ 3PH MOTOR: 3KW, 9AMP, 4POLE IP68, WEIGHT: 200KG, DUTY: S2-15, SERVICE: MAIN STEAM STOP VALVE</t>
  </si>
  <si>
    <t>DISPLAY CARD FOR THE ACTUATOR MAKE: CHANG ZHOU SCHNEIDER ACTUATOR, MODEL : SND-Z250-18S, SERIAL NO: 73166, TORQUE: 2500NM, SPEED: 18RPM, VOLT: 415V, FREQUENCY: 50HZ 3PH MOTOR: 3KW, 9AMP, 4POLE IP68, WEIGHT: 200KG, DUTY: S2-15, SERVICE: MAIN STEAM STOP VALV</t>
  </si>
  <si>
    <t>ROTORK ACTUATOR SERIAL NO. CX53140202, ACTUATOR TYPE IQM10F10A, SPEED 18RPM, TORQUE MAX. 34NM, , LUBRICATION- SAE80EP, MOTOR RATING-0.08KW, MOTOR SUPPLY 415-3-50</t>
  </si>
  <si>
    <t>CHANGZHOU SCHNEIDER ACTUATOR SERIAL NO.-73536 TYPE-SND-Z5-1-18S, TORQUE- 150NM, SPEED 18R/MIN, POWER SUPPLY 415V, 50HZ, MOTOR POWER-0.25KW, A-104, POLE-4, DUTY -S2-15</t>
  </si>
  <si>
    <t>RELAY, MODEL NO:MY2NJ,220/240 VAC 8-PIN, MAKE OMRON</t>
  </si>
  <si>
    <t>PRESSURE GAUGE; RANGE: 0-25MPA; CONNECTION : 1/2" BSP, BOTTOM; MAKE: WIKA</t>
  </si>
  <si>
    <t>PRESSURE GAUGE; RANGE: 0-6MPA; CONNECTION : 1/2" BSP, BOTTOM; MAKE: WIKA</t>
  </si>
  <si>
    <t>"MODEL NO. PM-6105 ,REGULAR DIGITAL MANOMETER FUNCTIONS WITH TOTAL 11 PRESSURE UNIT SCALE +OPERATING CONDITIONS 0 TO 50°C POWER SUPPLY 1 X 9V BATTERY DIMENSIONS 203 MM HEIGHT X 75 MM WIDTH X 50 MM THICKNESS RANGE : 0 TO ± 3515 MM WG IN STEPS OF 1 MM WG "</t>
  </si>
  <si>
    <t xml:space="preserve">BASE CARD
Part No:  MBD 211
For AVR: SAVR2000  </t>
  </si>
  <si>
    <t>MAKE: DONGFANG TURBINE CO Ltd, DRAWING NUMBER: D150C-006001A</t>
  </si>
  <si>
    <t>MAKE:DONGFANG TURBINE CO Ltd,DRG NO: D150D-332000A(FITTING,MANIFOLD,SOLOENOID VALVE,ORIFICE 0.8,WIRING BOX,MOUNTING RAIL,CHECK VALVE,BOLTS,PLUGS,UNLOADING VALVE PACKAGE,UNLOADING VAVLE COVER PLATE,ETC.)</t>
  </si>
  <si>
    <t>MAKE:DONGFANG TURBINE CO Ltd,DRG,NO:D150D-331000A(FITTING,MANIFOLD,SOLOENOID VALVE,ORIFICE 0.8,WIRING,BOX,MOUNTING RAIL,CHECK VALVE,BOLTS,PLUGS,UNLOADING VALVE,PACKAGE,UNLOADING VAVLE COVER PLATE,ETC.)</t>
  </si>
  <si>
    <t>JACKING OIL SYSTEM MAIN PRESSURE CONTROL BLOCK (ALL TURBINE BEARINGS,PRESSURE CONTROL BLOCK) ,MODEL : D135D-601000B,DONGFANG TURBINE CO LTD</t>
  </si>
  <si>
    <t>JACKING OIL PUMP INDIVIDUAL DISCHARGE NRV BLOCK(HIGH PRESSURE BLOCK MOUNTIN NON RETURN VALVE),MAKE : LIXIN, MODEL:RVP20-10 ( 104-07083-00063)</t>
  </si>
  <si>
    <t>HP CV ACTUATOR RIGHT SIDE CYLINDER (INCLUDED O-RINGS),MAKE:DONGFANG TURBINE CO Ltd, DRAWING NUMBER: D150D-332000A,MOC: 2CR13</t>
  </si>
  <si>
    <t>MAKE: SHANGHAI CCI POWER CONTROL EQUIPMENT CO LTD,DN 500/800 MM,STROKE H: 120 MM,MEDIUM : STEAM,OIL PRESSURE 14.5 MPA.</t>
  </si>
  <si>
    <t>Item</t>
  </si>
  <si>
    <t>HP CV MANIPULATING BRACKET (WITH TOTAL SPRING ASSEMBLY)</t>
  </si>
  <si>
    <t>HP CV ACTUATOR RIGHT SIDE TOTAL ASSEMBLY</t>
  </si>
  <si>
    <t>HP CV ACTUATOR LEFT SIDE TOTAL ASSEMBLY</t>
  </si>
  <si>
    <t>JOP MAIN PR CONTROL BLOCK,D135D-601000B,</t>
  </si>
  <si>
    <t>JOP INDI DISCHARGE BLOCK NRV,RVP20-10,</t>
  </si>
  <si>
    <t>HP CV ACT RIGHT CYLINDER,D150D-332000A,</t>
  </si>
  <si>
    <t>LP BYPASS VALVE DISK,DRAWING NO.: C3Y201-4,MOC: A565Gr616</t>
  </si>
  <si>
    <t>Jiadegreen</t>
  </si>
  <si>
    <t>IMPELLER</t>
  </si>
  <si>
    <t>IMPELLER FOR ACW PUMP,MODEL: SLOW200-340,CAPACITY:600m3/hr,HEAD:
30M,SPEED: 1480 RPM,POWER:75 KW, MAKE : SHANGHAI LIANCHENG GROUP CO LTD</t>
  </si>
  <si>
    <t>300 - HT
1136 SS</t>
  </si>
  <si>
    <t>23PRA296</t>
  </si>
  <si>
    <t>23PRA160</t>
  </si>
  <si>
    <t>23PRA329</t>
  </si>
  <si>
    <t>23PRA330</t>
  </si>
  <si>
    <t>ELECTRO PNEUMATIC SMART POSITIONER, MODEL: V18345-1010521001, SUPPLY PRESSURE: 20-90 PSI, INPUT ANALOG: 4-20MA, DOUBLE ACTING, SOFTWARE REV: 2.00, SERIAL NO: 582625, WITH ANALOG FEEDBACK, INTELLIGENT, CONFIGURABLE, WITH INDICATOR AND OPERATOR PANEL, MAKE: ABB</t>
  </si>
  <si>
    <r>
      <t xml:space="preserve">VALVE SMART POSITIONER, MAKE- FISHER, MODEL TYPE - </t>
    </r>
    <r>
      <rPr>
        <b/>
        <u/>
        <sz val="10"/>
        <color rgb="FF000000"/>
        <rFont val="Calibri"/>
        <family val="2"/>
        <scheme val="minor"/>
      </rPr>
      <t>DVC2000</t>
    </r>
    <r>
      <rPr>
        <sz val="10"/>
        <color rgb="FF000000"/>
        <rFont val="Calibri"/>
        <family val="2"/>
        <scheme val="minor"/>
      </rPr>
      <t>, 30MADC, 30VDC, 100PSI, AMBIAN TEMP-40 DEG. TO 80 DEG.C, IP66 ALONG WITH FEEDBACK LINK: MAGNETIC FEEDBACK ARRAY SUITABLE FOR LINEAR STEM TRAVEL UP TO ¾ IN TO BE MOUNTED ON 667 SIZE 45 ACTUATOR. MAGNETIC ARRAY PART NO. : GG20240X022 </t>
    </r>
  </si>
  <si>
    <t>LVDT- 2000TD, LENGTH- 0-100 MM, NO. 1206091 HIGH TEMPERATURE UPTO 250 DEGREE C, MAKE- SHIZHONG  </t>
  </si>
  <si>
    <t>HEA IGNITOR SPARK ROD, MODEL-XDH-20L, STORED ENERGY (J) 20. SUPPLY-AC 240V, SPARK RATE – 10 SPS, OUTPUT VOLTAGE:2500V DC, WORKING CYCLE: 5/1 MIN, LENGTH: 3808 MM, OD: 18 MM</t>
  </si>
  <si>
    <t>HIGH QUALITY HYDRAULIC PRESSURE BALL VALVE YJZQ-J32B 40X3.1 CARBON STEEL HIGH PRESSURE MANIFOLD MOUNTING PLATE TYPE</t>
  </si>
  <si>
    <t>8 MM PROXIMITION SENSOR 330180-50-00 3300 XL PROXIMITOR WITH THE FOLLOWING CONFIGURATION:
TOTAL LENGTH &amp; MOUNTING; 50 METRE &amp; PANEL MOUNT, TEST DATA OPTION: STANDARD TEST DATA, 330180 STOCK STANDARDS: 330180-50-00 COUNTRY OF ORIGIN:US ECCN:EAR99 HTS:8543</t>
  </si>
  <si>
    <t>Hydraulic coupling gear pump as per image (All the
items inside circle are required, required elements with
pump are showing in arrow mark
Make : GUANGDONG ZHONGXING POWER
TRANSMISSION CO. LTD, CHINA
Model : YOTCP875
Serial No. : 08 1 2440
Input speed : 1000 RPM
Power transmitted : 390/995 kW
Slip : 1.5 -3 %
Range of speed regulating : 1 – 1:5
Oil Pump flow : 238 L/min
Working oil grade : Perslia 32
Working oil pressure (min) : 0.15 MPa
Open pressure of Relief valve : 0.35 MPa</t>
  </si>
  <si>
    <t>LUBE OIL SYSTEM PUMP
Make : TianJin DingJia Industry pump factory, China.
Type : Three Screw Pump ( 3GR25x4S)
Capacity : 0.8 m3/hr
Pressure : 1 MPa
NPSH : 6.5 mtr
Motor Power : 0.75 kW
Speed : 1450 RPM</t>
  </si>
  <si>
    <t>APH – Oil pump for Gear box. / Required for the oil
pump.
Model : DGW D200 CCW and DGW D200 CW
Serial No. : 0816102 / Date- 2008 04.
Make : HEBEI BEIFANG REDUCER CO. LTD.,
CHINA
APH rotor speed with: 1.28 RPM
AC Drive motor
APH rotor speed with: 1.38 RPM
DC Drive motor
Shaft speed with Auxiliary: 11.68 RPM
Torque output of shaft : 8500 Nm
Output Shaft diameter: 140 mm
Oil capacity of reducer : 30 ltrs, EP 320</t>
  </si>
  <si>
    <t>BFP Speed Sensor &amp; Controller  complete set required,
ACTIVE ROTARY SPEED SENSOR MODEL: CS-3-M16-L60-02 (CS3-Active Rotary Speed sensor,M-16 Thread size,L60 – sensor length,02 – 2 Mtr Cable length)LENGTH: 60MM SENSING DIST: 2MM CABLE LENGTH:  2MTR FITTIN SIZE:  M16X1 I/P VOLTAGE: 12 VDC FOR BFP
Working Temperature : -40 to 120 Deg. C
Resistance &amp; Cable Code : Red-Supply (12 vdc)
Yellow-Signal (Output)
White/green- Common
Red/White- 250 K ohm
White Yellow – 250 K ohm
Red/Yellow – 50 k ohm</t>
  </si>
  <si>
    <t>LIMIT SWITCH BOX 2SPDT
MODEL- APL 310 N B</t>
  </si>
  <si>
    <t>PROCESSOR MODULE ZFDT-VII,HARBIN BOILER
PROCESSOR MODULE MODEL-ZFDT-VIII, MAKE : HARBIN BOILER CHINA</t>
  </si>
  <si>
    <t>DC POWER CARD FOR FCK 801A CONTROL &amp; MONITORING RELAY, 
CARD NO.FCK-801A/2 000009050270/8
For 220KV BAY MONITORING PANELS</t>
  </si>
  <si>
    <t>ASH COMPRESSOR AIR FILTER ELEMENT
AIR FILTER ELEMENT FOR SCREW AIR COMPRESSOR FHOG340W-N42/0.75 Q=42M3/MIN P=0.75MPA
AIR FILTER ELEMENT DF40-01-0302 FOR COMPRESSOR MODEL FHOG340W
MAKE - SHANGAI FHEE</t>
  </si>
  <si>
    <t>ASH COM AIR OIL SEPARATOR  FILT ELEMENT
AIR OIL SEPARATOR FINE FILTER ELEMENT FOR SCREW AIR COMPRESSOR FHOG340W-N42/0.75 Q=42M3 /MIN P=0.
MAKE - SHANGAI FHEE</t>
  </si>
  <si>
    <t>DISPLAY for HMI UNIT
FOR WXH-802A MICROPROCESSOR BASED DIGITAL TRANSMISSION LINE PROTECTION DEVICE, 
MAKE:XJ ELECTRIC CO LTD
For 220KV LINES PROTECTION PANEL</t>
  </si>
  <si>
    <t>VPC-TB IN DEH PANEL,GE
VPC-TB IN DEH PANEL VPC-TB IN DEH PANEL, 
MAKE- GE ENERGY, 
Valve Position Control Terminal Board 
MODEL NO-369B1878G0014</t>
  </si>
  <si>
    <t>OIL SEAL SLEEVE (SHAFT SLEEVING FOR ROLLER ), 
FOR COAL MILL ZGM 95N</t>
  </si>
  <si>
    <t>Sparemaster</t>
  </si>
  <si>
    <t>PLOUGH FEEDER MOTOR ACTUATOR,DTZA-10000-|
PLOUGH FEEDER MOTOR ACTUATOR, MODEL-DTZA-1000-50, POWER-1.5 KW,
THRUST-10KN, TRAVEL-500MM,SPEED-42 MM/S, MOTOR DRIVEN-PUSH ROD (THRUST BAR)
OEM-MAKE-JINING ZHONG HONG MECHANICAL</t>
  </si>
  <si>
    <t>600 &amp; 350</t>
  </si>
  <si>
    <t>SV TYPE OLTC COMPLETE UNIT WITH  DIVERTER SWITCH,MDU &amp; TOP GEAR UNIT (TYPE - SV III-500D/35-10193W, SL.NO – V08 1036), MAKE:SHANGHAI HUAMING.
{OLTC COMPLETE UNIT SUITABLE TO REPLACE THE EXISTING OLTC OF TBEA MAKE UNIT TRANSFORMER TYPE:SFZ10-16000/13.8TH, 16000KVA,13.8KVx(1± 8x1.25%)/6.9KV, 669.39A/1338.78A, TRANSFORMER PRODUCT CODE:1XTB.710.1847.1; TRAFO.PRODUCT SERIAL NO.1090044.                                                                             
EXISTING ON LOAD TAP CHANGER DETAILS: SR. NO. V08 1036, DATE:2008.07; TYPE:SVIII-500D/35-10193W, RATED THROUGH CURRENT=386A,RATED STEP VOLTAGE=172.5V, TRANS RESISTOR=0.4 OHMS, IMPLEMENTED STANDARD:IEC 60214, GB10230, MAKE:SHANGHAI HUAMING POWER EQUIPMENT CO.LTD, PR CHINA.}</t>
  </si>
  <si>
    <t>GST Rate 18% applicable against HSN: 8503</t>
  </si>
  <si>
    <t>RELAY
FOR WXH-802A MICROPROCESSOR BASED DIGITAL TRANSMISSION LINE PROTECTION DEVICE, 
MAKE:XJ ELECTRIC CO LTD
For 220KV LINES PROTECTION PANEL</t>
  </si>
  <si>
    <t>a</t>
  </si>
  <si>
    <t>b</t>
  </si>
  <si>
    <t xml:space="preserve">Bearing No. DE -7222 </t>
  </si>
  <si>
    <t xml:space="preserve">Bearing No NDE - NU222/P6 </t>
  </si>
  <si>
    <t>BEARING HOUSING WITH END COVERS
FOR SEAL AIR FAN,
Bearing No. DE -7222 (2 Nos.) and NDE - NU222/P6 1 no.
MOC- CAST STEEL IS:1030  GR.280-520N
Set includes following:
Upper seat, Lower seat, End cover and Seal (no bearings)</t>
  </si>
  <si>
    <t xml:space="preserve">Note: Bearing rates are offered separately </t>
  </si>
  <si>
    <t>MAGNETIC COUPLER FOR STACKER PCRD SYSTEM
REQUIRED AS PER EXISTING MAGNETIC COUPLER AVAILABLE IN STACKER</t>
  </si>
  <si>
    <t>Nan Shan</t>
  </si>
  <si>
    <t>IMPELLER FOR ASH WATER PUMP 100ZZ-46   (  100ZZ-50-01 )</t>
  </si>
  <si>
    <t>FRONT PROTECTION COVER FOR ASH WATER PUMP 100ZZ-46   (  100ZZ-50-03 )</t>
  </si>
  <si>
    <t>SUB-IMPELLER CHAMBER(100ZZ-50-09) FOR ASH WATER PUMP 100ZZ-46 (  100ZZ-50-09 )</t>
  </si>
  <si>
    <t>SLEEVE(100ZZ-50-02) FOR ASH WATER PUMP 100ZZ-46 (  100ZZ-50-02 )</t>
  </si>
  <si>
    <t>BACK PROTECTION COVER FOR ASH WATER PUMP 100ZZ-46 (  100ZZ-50-04 )</t>
  </si>
  <si>
    <t>PUMP SHAFT  FOR ASH WATER PUMP 100ZZ-46 (  100ZZ-50-21 )</t>
  </si>
  <si>
    <t>SHAFT SLEEVE FOR ASH WATER PUMP 100ZZ-46 (  100ZZ-50-11 )</t>
  </si>
  <si>
    <t>Wait</t>
  </si>
  <si>
    <t>Gyration plunger</t>
  </si>
  <si>
    <t>Active Gear</t>
  </si>
  <si>
    <t>Active cover (Gear cover)</t>
  </si>
  <si>
    <t>Electromagnetic valve (Two-piston, Three way valve)</t>
  </si>
  <si>
    <t>Control sliding valve</t>
  </si>
  <si>
    <t>Warm gear arbor</t>
  </si>
  <si>
    <t>Spacer block</t>
  </si>
  <si>
    <t>Gear</t>
  </si>
  <si>
    <t>Locating Bush</t>
  </si>
  <si>
    <t>Part Number</t>
  </si>
  <si>
    <t>Y47-231300A</t>
  </si>
  <si>
    <t>Y47-231400A</t>
  </si>
  <si>
    <t>Y47-231600A</t>
  </si>
  <si>
    <t>Y47-231700A</t>
  </si>
  <si>
    <t>Y47-231000A005</t>
  </si>
  <si>
    <t>M181.231.073</t>
  </si>
  <si>
    <t>Y47-231000A017</t>
  </si>
  <si>
    <t>Y47-231000A018</t>
  </si>
  <si>
    <t>Sub Drawing No</t>
  </si>
  <si>
    <r>
      <rPr>
        <b/>
        <u/>
        <sz val="10"/>
        <rFont val="Calibri"/>
        <family val="2"/>
        <scheme val="minor"/>
      </rPr>
      <t>Terms &amp; Conditions</t>
    </r>
    <r>
      <rPr>
        <sz val="10"/>
        <rFont val="Calibri"/>
        <family val="2"/>
        <scheme val="minor"/>
      </rPr>
      <t xml:space="preserve">
Offer Basis FOR Plant Basis.
Delivery Time: 14 weeks from date of receipt of confirm PO.
G/Warranty: 12 months from date of  DISPATCH - only for manufacturing defects
Payment Terms: 100% along with taxes etc against PI, prior to delivery at site.
Offer Validity: 31 days from date of offer.
Any statutory changes in rate of tax etc will be applicable as on date of dispatch.
Minimum Order Qty: N/A
Standard packaging will be done for supply of above items.
Our offer confirm for 100% fitment &amp; interchangeability of offered products. In case of any discrepancy, we will replace items promptly for free of cost. </t>
    </r>
  </si>
  <si>
    <t>HV BUSHING FOR GENERATOR TRANSFORMER,
MAKE:TBEA, TRAFO. SR.NO.28A176, OIP TRANSFORMER BUSHING,TYPE-BRDL1W3, 252/630-4,RATED VOLT-252KV,CURRENT-630A,CAT NO-60619,CAPACITANCE-355PF,OIL TYPE-DB 45,OIL WEIGHT-79 KG. BUSHING MAKE:XIANXD HIGH VOLTAGE PORCELAIN INSULATION CO.LTD</t>
  </si>
  <si>
    <t xml:space="preserve">HV NEUTRAL BUSHING FOR GENERATOR TRANSFORMER 170MVA, 220/13.8KV MAKE:TBEA, BUSHING:TYPE-BRDLW1-126/630-4-2000-4,RATED VOLTAGE-126 KV,RATED CURRENT-630 AMP,CAT NO-229,CAPACITANCE-257 PF  </t>
  </si>
  <si>
    <t>LV BUSHING FOR GT 170MVA 235/13.8KV, OIP TRANSFORMER BUSHING,TYPE-BRW-40.5/16000-4, Un-35KV,CAT NO-63312,CAPACITANCE-754PF,OIL TYPE-DB 45</t>
  </si>
  <si>
    <t>GST Rate 18% applicable against HSN: 8546</t>
  </si>
  <si>
    <t>Enclosure (Breather enclosure)</t>
  </si>
  <si>
    <t>Plunger Cover</t>
  </si>
  <si>
    <t>M181.231.3Z</t>
  </si>
  <si>
    <t>Active Cap 2 no's</t>
  </si>
  <si>
    <t>M181.231.6Z</t>
  </si>
  <si>
    <t>Adjustable Fitting Dg 20</t>
  </si>
  <si>
    <t>M181.231.12Z</t>
  </si>
  <si>
    <t>Cover (Turning gear main housing body)</t>
  </si>
  <si>
    <t>Y47-231000B001</t>
  </si>
  <si>
    <t>Felt ring seal</t>
  </si>
  <si>
    <t>Q/ZB 68-77</t>
  </si>
  <si>
    <t>Packing washer</t>
  </si>
  <si>
    <t>Y47-231000A001</t>
  </si>
  <si>
    <t>Eye cover</t>
  </si>
  <si>
    <t>M181.231.038</t>
  </si>
  <si>
    <t>Semi flexible coupling (Barring gear side coupling)</t>
  </si>
  <si>
    <t>M181.231.039</t>
  </si>
  <si>
    <t>Bearing block</t>
  </si>
  <si>
    <t xml:space="preserve">M181.231.048 </t>
  </si>
  <si>
    <t>Axile bush</t>
  </si>
  <si>
    <t>M181.231.049</t>
  </si>
  <si>
    <t>Staff</t>
  </si>
  <si>
    <t>M181.231.057</t>
  </si>
  <si>
    <t>Crank</t>
  </si>
  <si>
    <t xml:space="preserve">M181.231.058 </t>
  </si>
  <si>
    <t>Active Arbor</t>
  </si>
  <si>
    <t>Y47-231000A010</t>
  </si>
  <si>
    <t>Swing Stem</t>
  </si>
  <si>
    <t>M181.231.062</t>
  </si>
  <si>
    <t>Barrel</t>
  </si>
  <si>
    <t>M181.231.064</t>
  </si>
  <si>
    <t>Spring</t>
  </si>
  <si>
    <t>M181.231.065</t>
  </si>
  <si>
    <t>Outer cover</t>
  </si>
  <si>
    <t>Y47-231000A011</t>
  </si>
  <si>
    <t>M181.231.067</t>
  </si>
  <si>
    <t>Plunger</t>
  </si>
  <si>
    <t>M181.231.068</t>
  </si>
  <si>
    <t>Connecting rod</t>
  </si>
  <si>
    <t>M181.231.069</t>
  </si>
  <si>
    <t>Carrier rod</t>
  </si>
  <si>
    <t>M181.231.071</t>
  </si>
  <si>
    <t>Pin (Bullet)</t>
  </si>
  <si>
    <t>D09.231.062</t>
  </si>
  <si>
    <t>D09.231.063</t>
  </si>
  <si>
    <t>Adjusting heel block</t>
  </si>
  <si>
    <t xml:space="preserve">M181.231.079 </t>
  </si>
  <si>
    <t>Sungme New</t>
  </si>
  <si>
    <t>Oil Pipe</t>
  </si>
  <si>
    <t>Y47-231500A</t>
  </si>
  <si>
    <t xml:space="preserve">Complete Turning Gear assembly </t>
  </si>
  <si>
    <t>(WP)Y46-231000A</t>
  </si>
  <si>
    <t>PR Qty.</t>
  </si>
  <si>
    <t>Unit Rate-INR</t>
  </si>
  <si>
    <t>SubTotal</t>
  </si>
  <si>
    <t>Comments</t>
  </si>
  <si>
    <t>MOV DISPLAY CARD, MAKE: CHANGZHOU, MODEL: SND-Z90-18S, SR NO: 73164, SPEED-18 RPM, TORQUE- 900 NM, MOTOR- 1.5KW, 5AMP., SUPPLY - 415 VOLT</t>
  </si>
  <si>
    <t>Nos</t>
  </si>
  <si>
    <t>MOV POWER CARD, MAKE: CHANGZHOU, MODEL: SND-Z90-18S, SR NO: 73164, SPEED-18 RPM, TORQUE- 900 NM, MOTOR- 1.5KW, 5AMP., SUPPLY - 415 VOLT</t>
  </si>
  <si>
    <t>MOV CONTROL CARD, MAKE: ROTORK , SERIAL NO. CX53140301, ACTUATOR TYPE IQM20, SPEED 36RPM, TORQUE MAX. 81NM, , LUBRICATION- SAE80EP, MOTOR RATING-0.5KW, MOTOR SUPPLY 415-3-50</t>
  </si>
  <si>
    <t>MOV DISPLAY CARD, MAKE: ROTORK , SERIAL NO. CX53140301, ACTUATOR TYPE IQM20, SPEED 36RPM, TORQUE MAX. 81NM, , LUBRICATION- SAE80EP, MOTOR RATING-0.5KW, MOTOR SUPPLY 415-3-50</t>
  </si>
  <si>
    <t>MOV POWER CARD , SERIAL NO. A80020374104 TYPE: IK22, 3.68A, 350 NM, WIRING DIAGRAM: 3000-000-06, SPEED: 24RPM, 5A, 250VAC, 30VDC, GL-5, 75W/90, MOTOR RATING: 1.8KW, 15MIN, 415V-3-50HZ, MAKE-AUTORK, SERVICE: TURBINE EXTRACTION</t>
  </si>
  <si>
    <t>MOV CONTROL CARD , SERIAL NO. A80020374104 TYPE: IK22, 3.68A, 350 NM, WIRING DIAGRAM: 3000-000-06, SPEED: 24RPM, 5A, 250VAC, 30VDC, GL-5, 75W/90, MOTOR RATING: 1.8KW, 15MIN, 415V-3-50HZ, MAKE-AUTORK, SERVICE: TURBINE EXTRACTION</t>
  </si>
  <si>
    <t>MOV POWER CARD, SHANGHAI MAKE, TYPE: 16AT/MOEE36, WIRING DIA:WD3010-100, RATED TORQUE2500, RATED ANGLE: 90 DEG, 90 DEG TIME 23S,POWER: 0.75KW, SUPPLY 415V, 3.5A, SERVICE: FAN IGV</t>
  </si>
  <si>
    <t>MOV CONTROL CARD, SHANGHAI MAKE, TYPE: 16AT/MOEE36, WIRING DIA:WD3010-100, RATED TORQUE2500, RATED ANGLE: 90 DEG, 90 DEG TIME 23S,POWER: 0.75KW, SUPPLY 415V, 3.5A, SERVICE: FAN IGV</t>
  </si>
  <si>
    <t>MOV CONTROL CARD, MAKE: AUMA , COM NO: 91006167, SA6E45, T CLOSE: 20-60, T OPEN: 20-60, RPM: 45,,WD NO. 3-WDP-A1B, IP 65</t>
  </si>
  <si>
    <t>MOV POWER CARD, MAKE: AUMA , COM NO: 91006167, SA6E45, T CLOSE: 20-60, T OPEN: 20-60, RPM: 45,,WD NO. 3-WDP-A1B, IP 65</t>
  </si>
  <si>
    <t>HMI, Pro-Face Model: 2BB0045-02, GP2600-TC41-24V, DIGITAL ELECTRONICS CORPOARATION, Ratting 2 08 24V D, TEMP CODE: T4A, CLASS 1 DIVISION 2 GROUP A,B,C AND D, HMI FOR SOOT BLOWER, TOUCH PANEL, GP 2600 T, 24V DC,</t>
  </si>
  <si>
    <t>GST Rate 18% applicable against HSN:8501</t>
  </si>
  <si>
    <r>
      <rPr>
        <b/>
        <u/>
        <sz val="10"/>
        <rFont val="Calibri"/>
        <family val="2"/>
        <scheme val="minor"/>
      </rPr>
      <t>Terms &amp; Conditions</t>
    </r>
    <r>
      <rPr>
        <sz val="10"/>
        <rFont val="Calibri"/>
        <family val="2"/>
        <scheme val="minor"/>
      </rPr>
      <t xml:space="preserve">
Offer Basis FOR Site Basis.
Delivery Time: 12 weeks from date of receipt of confirm PO
G/Warranty: 12 months from date of DISPATCH - only for manufacturing defects
Payment Terms: 100% along with taxes etc. against PI.
Offer Validity: 31 days from date of offer.
Any statutory changes in rate of tax etc. will be applicable as on date of dispatch.
Minimum Order Qty: N/A
Standard packaging will be done for supply of above items.
Our offer confirm for 100% fitment &amp; interchangeability of offered products. In case of any discrepancy, we will replace items promptly for free of cost. </t>
    </r>
  </si>
  <si>
    <t>This actuator is too old, AUMA is an old version card not available to offer. Hence suggested to change the complete actuator</t>
  </si>
  <si>
    <t>GST Rate 18% applicable against HSN: 87084000</t>
  </si>
  <si>
    <t>Nos.</t>
  </si>
  <si>
    <t>-</t>
  </si>
  <si>
    <t>@10300USD.8-12WEEKS.(import)
@4410USD,4weeks.(Made in china)</t>
  </si>
  <si>
    <t>AIR CIRCUIT BREAKER HA1-2000, ZTD-3, 630AMP ELETCRICAL OPERATION MAGNET 220V DC AUXILIARY SWITCH 5NO+5NC</t>
  </si>
  <si>
    <t>TRIPPING COIL DC 220V FOR ZN63(VS1)-12KV 1250A VCB (COIL RESISTANCE:165 Ohm), FOR 11KV SHANGHAI HUATONG SWITCHGEAR</t>
  </si>
  <si>
    <t>GST Rate 18% applicable against HSN: 85362010</t>
  </si>
  <si>
    <t>PR/21/262</t>
  </si>
  <si>
    <t>RCS RELAY DISPLAY CARD, TRULY MPG940-B1 LCD DISPLAY, TR-804 94V-O, V2.0</t>
  </si>
  <si>
    <t>GST Rate 18% applicable against HSN: 8538</t>
  </si>
  <si>
    <t>CONDENSER INLET VLV ACTUATOR GEAR ASSEMBLY</t>
  </si>
  <si>
    <t>ASH WATER PUMP 100ZZ-46 IMPELLER,100ZZ-50-01</t>
  </si>
  <si>
    <t>ASH WATER PUMP 100ZZ-46 SLEEVE
SLEEVE(100ZZ-50-02) FOR ASH WATER PUMP 100ZZ-46</t>
  </si>
  <si>
    <t>ASH WATER PUMP 100ZZ-46 BACK PROTECTION,100ZZ-50-04
BACK PROTECTION COVER FOR ASH WATER PUMP 100ZZ-46</t>
  </si>
  <si>
    <t>FLENDER GEAR BOX 
B3-HH-7-C Serial No- 4500690762.01.001
GEAR BOX MAKE-FLENDER, MODEL-B3 HH 7 C
COMPLETE GEAR BOX, MAKE FLENDER GERMANY ONLY
MODEL- B3 HH 7 C, SL. NO-4500690762.01.001 N1=1500 /MIN N2=75.20 /MIN P2=80 KW OIL TYPE VG 320 WEIGHT-550 KG, MOTOR-90 KW, SPEED-1490 RPM</t>
  </si>
  <si>
    <r>
      <rPr>
        <b/>
        <u/>
        <sz val="10"/>
        <rFont val="Calibri"/>
        <family val="2"/>
        <scheme val="minor"/>
      </rPr>
      <t>Terms &amp; Conditions</t>
    </r>
    <r>
      <rPr>
        <sz val="10"/>
        <rFont val="Calibri"/>
        <family val="2"/>
        <scheme val="minor"/>
      </rPr>
      <t xml:space="preserve">
Offer Basis FOR Site Basis.
Delivery Time: 18 weeks from date of receipt of confirm PO
G/Warranty: 12 months from date of DISPATCH - only for manufacturing defects
Payment Terms: 100% along with taxes etc. against PI.
Offer Validity: 31 days from date of offer.
Any statutory changes in rate of tax etc. will be applicable as on date of dispatch.
Minimum Order Qty: N/A
Standard packaging will be done for supply of above items.
Our offer confirm for 100% fitment &amp; interchangeability of offered products. In case of any discrepancy, we will replace items promptly for free of cost. </t>
    </r>
  </si>
  <si>
    <t>GST Rate 18% applicable as extra</t>
  </si>
  <si>
    <t>4 months</t>
  </si>
  <si>
    <t>Ea.</t>
  </si>
  <si>
    <t>REDUCER ((BUCKET WHEEL DRIVE GEAR BOX)
FOR BUCKET WHEEL MECHANISM ZHF 5
REDUCER FOR BUCKET WHEEL MECHANISM 
TYPE ZHP-5.32 05.321068494 
SERIE-NO.10 1 
TORQUE/COUPLE 70.232 NM 
OIL 220 (ZOLLERN GETRIEBE) OR FLENDAR EQUIVALENT</t>
  </si>
  <si>
    <t>Complete Skid with Motor
Pump suction - 150 mm
Pump discharge - 80 mm</t>
  </si>
  <si>
    <t>Pc.</t>
  </si>
  <si>
    <t>TURBINE VALVE CONTROL CARD
ICV SERVO MODULE
MAKE: DEA
SR NO. 0707AC010218
EPT 103-40
(TURBINE VALVE CONTROL CARD, ICV SERVO MODULE, DEH SYSTEM, MAKE: DEA, SR NO. 0707AC010218, EPT 103-40034 LLF1463)</t>
  </si>
  <si>
    <t>Offered discount of 5% on the mentioned prices, to be revised</t>
  </si>
  <si>
    <t>LP DRIP PUMP WITH MOTOR 
MODEL- 150NW55-190;HEAD-190M; NPSH-1.9M; CAPACITY-56 M3/HR, RATING-75 KW, SPEED-2970 R/MIN;IP-55;MODEL NO-Y2-280S-2 
ALONG WITH BASE FRAME AND SUITABLE COUPLING.</t>
  </si>
  <si>
    <t>Hq Shanghai</t>
  </si>
  <si>
    <t>Freight</t>
  </si>
  <si>
    <t>CONTROL TERMINAL BLOCK (FIXED + MOVING) FOR AUXIALLARY CIRUIT OF AIR CIRCUIT BREAKER  HA1 SERIES AIR CIRCUIT BREAKER</t>
  </si>
  <si>
    <t>GST Rate 18% applicable</t>
  </si>
  <si>
    <t>Anne New</t>
  </si>
  <si>
    <t>Emma - Requested</t>
  </si>
  <si>
    <t>Emma - Harbin</t>
  </si>
  <si>
    <t>Emma - Henan</t>
  </si>
  <si>
    <t>MEASUREMENT</t>
  </si>
  <si>
    <t>AREA</t>
  </si>
  <si>
    <t>SYSTEM</t>
  </si>
  <si>
    <t>TAG NO</t>
  </si>
  <si>
    <t>APPLICATION</t>
  </si>
  <si>
    <t>MODEL NO.</t>
  </si>
  <si>
    <t>OEM</t>
  </si>
  <si>
    <t>CV</t>
  </si>
  <si>
    <t>BOILER</t>
  </si>
  <si>
    <t>STEAM</t>
  </si>
  <si>
    <t>10HAG20AA606</t>
  </si>
  <si>
    <t>B SDE CONTINUOUS DOWN CV</t>
  </si>
  <si>
    <t>ROTORK</t>
  </si>
  <si>
    <t>MOV</t>
  </si>
  <si>
    <t>10LAE55AA108</t>
  </si>
  <si>
    <t>A SIDE 1ST SPRAY WATER BP MOV2</t>
  </si>
  <si>
    <r>
      <t xml:space="preserve">VALVE WITH ACTUATOR, ACTUATOR TYPE: SND-Z30-18S,TORQUE: 300 N-M,SPEED: 18 RPM, POWER SUPPLY: 415 V,50 HZ,3 PHASE, WEIGHT: 60 KG,MOTOR POWER:0.37 KW,1.8 A, ON-OFF, MAKE: CHANGZHOU POWER STATION AUXILIARYEQUIPMENT WORKS LTD, CHINA
</t>
    </r>
    <r>
      <rPr>
        <b/>
        <sz val="11"/>
        <rFont val="Calibri"/>
        <family val="2"/>
        <scheme val="minor"/>
      </rPr>
      <t>Valve Description:</t>
    </r>
    <r>
      <rPr>
        <sz val="11"/>
        <rFont val="Calibri"/>
        <family val="2"/>
        <scheme val="minor"/>
      </rPr>
      <t>Connection Type:Socket Joint    Nominal Dia-40 mm,Opr pressure-141 kg/cm2,   opr temp-166 deg celsius,  globe v/v, max temp-450 deg c, max press-320 kg/cm2,F22, class-3500, SERVICE: A SIDE 1ST SPRAY WATER BP MOV2</t>
    </r>
  </si>
  <si>
    <t>CHANGZHOU POWER STATION AUXILIARYEQUIPMENT WORKS LTD, CHINA</t>
  </si>
  <si>
    <t>TURBINE</t>
  </si>
  <si>
    <t>WATER</t>
  </si>
  <si>
    <t>10LAC60AA103</t>
  </si>
  <si>
    <t>BED ASH COOLER A INLET WATER MOV</t>
  </si>
  <si>
    <r>
      <t xml:space="preserve">VALVE WITH ACTUATOR, ACTUATOR TYPE: SND-Z20-18S, TORQUE: 200 N-M, SPEED: 18 RPM, POWER SUPPLY: 415 V,50 HZ, WEIGHT: 60 KG, MOTOR POWER: 0.37 KW, 1.8 A, ON-OFF. MAKE:CHANGZHOU POWER STATION AUXILIARYEQUIPMENT WORKS LTD, CHINA
</t>
    </r>
    <r>
      <rPr>
        <b/>
        <sz val="11"/>
        <rFont val="Calibri"/>
        <family val="2"/>
        <scheme val="minor"/>
      </rPr>
      <t>Valve Description:</t>
    </r>
    <r>
      <rPr>
        <sz val="11"/>
        <rFont val="Calibri"/>
        <family val="2"/>
        <scheme val="minor"/>
      </rPr>
      <t>Connection Type:Flange Joint    Nominal Dia-80 mm,Opr pressure-18 kg/cm2,   opr temp-60 deg celsius,  gate v/v, max temp-300 deg c, max press-30 kg/cm2,F51, class-600, SERVICE: BED ASH COOLER A INLET WATER MOV</t>
    </r>
  </si>
  <si>
    <t>10LBB10AA502</t>
  </si>
  <si>
    <t>RH 2ND MOV</t>
  </si>
  <si>
    <t>CHANGZHOU-SCHNEIDER</t>
  </si>
  <si>
    <t>VALVE WITH ACTUATOR,  Type: SND-Z60-18S, Torque: 600N-M, Speed:18r/min, Thrust: kn, Weight:120kg, Power Supply:415V, F:50Hz, 3PH, IP 68, Motor Power: 1.1KW, A:4, 4Pole, F Ins, Duty: S2-15, Serial No-73146, Make: CHANGZHOU-SCHNEIDER,                                       VALVE DESCRIPTION: Motor operated globe valve DHJ961Y-Pw54.5 16I, NOM. Diam. DN 100MM , Working Press. P 16Mpa, working temperature: 545 degree Celsius , MFR.SER.NO.:3-1Y MADE: HARBIN BOILER CO.,LTD.PR</t>
  </si>
  <si>
    <r>
      <t xml:space="preserve">VALVE WITH ACTUATOR, ACTUATOR TYPE: SIZE:IQM3Q,SPEED: 18 RPM,TORQUE: 34 N-M,17 A,SERIAL NO: CX53140201,WIRING DIAGRAM: 5010-100-05, LUBRICATION: SAE80FP, MAKE: ROTORK . </t>
    </r>
    <r>
      <rPr>
        <b/>
        <sz val="11"/>
        <rFont val="Calibri"/>
        <family val="2"/>
        <scheme val="minor"/>
      </rPr>
      <t>Valve Description:</t>
    </r>
    <r>
      <rPr>
        <sz val="11"/>
        <rFont val="Calibri"/>
        <family val="2"/>
        <scheme val="minor"/>
      </rPr>
      <t>Connection Type:Socket Joint    Nominal Dia-32 mm,Opr pressure-137 kg/cm2,   opr temp-335 deg celsius,  globe v/v, max temp-450 deg c, max press-320 kg/cm2,F22, class-3500, SERVICE: B SDE CONTINUOUS DOWN MOV CV</t>
    </r>
  </si>
  <si>
    <t>DRYER HMI TEMPERATURE SENSING ELEMENT
MODEL NO: XJK-XG2E4
THERMOCOUPLE WITH THERMOWELL AS PER HMI MODEL NO.XJK-XG2E4</t>
  </si>
  <si>
    <t>Pressure Transmission BP-801, 0-1.0 Mpa
Power supply: 24 VDC, 4-20mA
Machine: 3+ VDC, No-09080123 instrument co. ltd</t>
  </si>
  <si>
    <t>Price by Rahul ji</t>
  </si>
  <si>
    <t>OIL SEAL SLEEVE ROLLER SHAFT CML ZGM 95N</t>
  </si>
  <si>
    <t>HERMETICALLY SEALED THERMOSTAT PROBE, MODEL-O51CFB-230A-081Z MAKE-AIRPAX
SENSATA TECHNOLOGIES, SERIES- 5100,(OPEN ON RISE CONTACT,TAPER PIPE
THEREAD 1/2-14 DRYSEAL PTF-SPECIAL SHORT,TEMP-230- 81</t>
  </si>
  <si>
    <t>RCS RELAY DISPLAY CARD, TRULY MPG940-B1 LCD DISPLAY, TR-804  94V-O, V2.0; SUITABLE FOR MOTOR/TRANSFORMER/FEEDER MANAGEMENT RELAYS OF RCS-962XCN SERIES, MAKE:NR ELECTRIC</t>
  </si>
  <si>
    <t>HMI DISPLAY UNIT FOR WXH-802A MICROPROCESSOR BASED DIGITAL TRANSMISSION LINE PROTECTION DEVICE, MAKE:XJ ELECTRIC CO LTD</t>
  </si>
  <si>
    <t>DC POWER CARD FOR FCK 801A CONTROL &amp; MONITORING RELAY, CARD NO.FCK-801A/2 000009050270/8</t>
  </si>
  <si>
    <t>HMI DISPLAY UNIT FOR FCK-801A/R1 DIGITAL MEASUREMENT AND CONTROL DEVICE, MAKE:XJ ELECTRIC CORPORATION</t>
  </si>
  <si>
    <t>Frist rate proposed by Rahul ji</t>
  </si>
  <si>
    <t>Hydra Step Electrode Suitable to UDZ-191A Total Length 91mm</t>
  </si>
  <si>
    <t>Prices shared by Rahul ji</t>
  </si>
  <si>
    <t>RTD
PT 100
3 wire simplex
Make Tempsens
DIA:- 3mm, Length:- 15 mm
Application: For thrust pad temp. Of BFP</t>
  </si>
  <si>
    <t>SPEED SENSOR
TM0182
SENSITIVITY: 8mV/V, 200mV/mil
Make: PREDITECH
SERVICE: BFP SHAFT SPEED</t>
  </si>
  <si>
    <t>Sandeep</t>
  </si>
  <si>
    <t>1100002089 &amp; 1100002160</t>
  </si>
  <si>
    <t>ASH COM AIR OIL SEPARATOR  FILT ELEMENT
AIR OIL SEPARATOR FINE FILTER ELEMENT FOR SCREW AIR COMPRESSOR
FHOG340W-N42/0.75 Q=42M3 /MIN P=0.</t>
  </si>
  <si>
    <t>ASH COMPRESSOR OIL METER DF 40-04-18
OIL METER DF 40-04-18 FOR COMPRESSOR MODEL FHOG340W</t>
  </si>
  <si>
    <t>ASH COMPRESSOR SCREW DF40-02-0421
SCREW DF40-02-0421 FOR COMPRESSOR MODEL FHOG340W</t>
  </si>
  <si>
    <t>ASH COMPRESSOR SHAFT DF40-02-0419
SHAFT DF40-02-0419 FOR COMPRESSOR MODEL FHOG340W</t>
  </si>
  <si>
    <t>Emma (Old)</t>
  </si>
  <si>
    <t>DISPLAY CARD - DMF50081 FOR 220V DC INTELLIGENT MONITOR EQUIPMENT (V4.01), HJZ-MC-$B-8(B Intelligence Monitoring Device, MAKE:HARBIN JIUZHOU ELECTRIC CO., LTD</t>
  </si>
  <si>
    <t>Prices reduced as per Rahul ji</t>
  </si>
  <si>
    <r>
      <t xml:space="preserve">DRYER HMI TEMPERATURE SENSING ELEMENT
MODEL NO: XJK-XG2E3
MICRO HEAT REGENRATION DRYER CONTROLLER
</t>
    </r>
    <r>
      <rPr>
        <b/>
        <u/>
        <sz val="10"/>
        <rFont val="Calibri"/>
        <family val="2"/>
        <scheme val="minor"/>
      </rPr>
      <t>Note: With RTD &amp; thermowell</t>
    </r>
  </si>
  <si>
    <t>First item price added to last one with the note</t>
  </si>
  <si>
    <t>Item not required</t>
  </si>
  <si>
    <t>Removed from the list</t>
  </si>
  <si>
    <t>Narender Singh Roa</t>
  </si>
  <si>
    <t>Anne (original)</t>
  </si>
  <si>
    <t>Anne Replace</t>
  </si>
  <si>
    <t>8% Discount on offered prices for 2,3 and 4</t>
  </si>
  <si>
    <t>Unit Price Post 8% discount</t>
  </si>
  <si>
    <t xml:space="preserve">the supplier told they can't offer shaft to you , because user can't do testing after replacing </t>
  </si>
  <si>
    <t>TRANSMITTER MONITOR, YTM301, 4 WIRE VIBRATION, PN: YTM301-A00-B03-C00-D00-E00-F00-G00, FULL SCALE: 0-200UM, POWER: 90 - 250VAC, PREDITECH</t>
  </si>
  <si>
    <t>VIBRATION TRANSDUCER/ TRANSMITTER/DRIVER, TM0182, DRIVER, 8MM PROBE, 5 MMTR SYSTEM, PN: TM0182-A50-B00-C00, PREDITECH</t>
  </si>
  <si>
    <t>DIGITAL VIBRATION/SPEED/TRANSMITTER, DTM10 VIBRATION, PN: DTM10-A0-B0-C0-E00-M1-S0, PROVITECH</t>
  </si>
  <si>
    <t>Power Gem</t>
  </si>
  <si>
    <t>Considered (15% Mark up)</t>
  </si>
  <si>
    <t>1100002157/1100002028</t>
  </si>
  <si>
    <t>ESP PULSE VALVE 
3 INCH
PRESSURE RANGE: 100 PSI
MODEL: TH--4475-B 
FOR ESP BAG FILTER</t>
  </si>
  <si>
    <t>Anne (OEM)</t>
  </si>
  <si>
    <t>Anne (Replacement)</t>
  </si>
  <si>
    <t>Emma (replaement)</t>
  </si>
  <si>
    <t>ACTUATOR 
TYPE: IK22
SERIAL NO: A80020374115
SPEED: 24 RPM
TORQUE: MAX. 350 N/M
ENCLOSURE: FLP/IP68
MOTOR RATING: 1.8KW, 15 MIN
MOTOR SUPPLY: 415-3-50
NOMINAL MOTOR CURRENT: 3.68AMP
DIAGRAM: 3000-000-06
LUB: GL-5 75W/90 
MODEL: CDN500
MAKE: AUTORK</t>
  </si>
  <si>
    <t>ACTUATOR
SERIAL NO: A80090370508
ACTUATOR TYPE: IK90
SPEED: 24 RPM
TORQUE: MAX. 2000 N/M
ENCLOSURE: FLP / IP68
MOTOR RATING: 8.7 KW, 15MIN
MOTOR SUPPLY: 415-3-50
NOMINAL MOTOR CURRENT: 19.3 AMP
DIAGRAM: 3000-000-06
LUB: GL-5 75W/90 
MODEL: CDN500
MAKE: AUTORK</t>
  </si>
  <si>
    <t>nos</t>
  </si>
  <si>
    <t>FISHER I/P CONVERTER,MODEL:562 I, HAZARDUS AREA APPROVAL: ATEX/FM SUPPLY GAUSGE:0-30 PSIG</t>
  </si>
  <si>
    <t>LVDT- 3000TD, 0-150MM, UP TO NORMAL TEMPERATURE RANGE OF 150 DEC,MAKE- SHIZONG</t>
  </si>
  <si>
    <t>OPERATOR WORK STATION(WP) Compatible for the below details, Model: P92 station, Make: DELL, DELL PRECISION 390, Model No: DCTA, Serial No: CPGX5D1</t>
  </si>
  <si>
    <t>ENGINEERING WORK STATION (AW) Compatible for the below details, Model: P92 station, Mke: DELL, DELL PRECISION 390</t>
  </si>
  <si>
    <t>BUNKER LEVEL TRANSMITTER, Make: SIEMENS, Model No: SITRANS LR560 2-Wire,78GHZ FMCW radar level transmitter.</t>
  </si>
  <si>
    <t>SPEED SENSOR, TM0182, SENSITIVITY: 8mV/V, 200mV/mil, PREDITECH, SERVICE: BFP SHAFT SPEED</t>
  </si>
  <si>
    <t>PRESSURE SWITCH, MAKE: SWITZER, RANGE:1 TO 10BAR, MODEL: GM-203-33-B033-W-A-0</t>
  </si>
  <si>
    <t>TELEMECANIQUE TWDLCAA24DRF BASE UNIT AC, 14 IN DC , 10 OUT RLY, TBK-[ POWER:100-240VAC 50/60HZ 40VA, I/P: 24VDC I/P 0,1:11MA/PT OTHERS:7MA/PT, O/P 240VAC/30VDC 2 A(GEN/RES) , AUX. O/P:24VDC 250MA,USE MIN.60DEG. WIRE COPPER CNDCT. ONLY TERMINAL TORQUE:0.5N.M TEMP CODE:T4AMAX 55DEG, SN:31074701148, MAKE: SCHNEIDER ELECTRIC] [ 1006131]</t>
  </si>
  <si>
    <t>IDCB-4E/DR/Y-[ IDCB-4E/DR/Y Intelligence Data Collects Measure Control Module 20 channel analog differential input three-terminal (Thermocouple) Communication Interface Standard RS-485 Power Input-230 V AC Make-Wuxi Huadong Electric] [ 1005034]</t>
  </si>
  <si>
    <t>LEVEL GAUGE, RANGE: 5MTR, FLANGE OD: 140MM, FLANGE ID 30MM, PCD: 100MM, 4 HOLE,-[ LEVEL GAUGE, TANK LEVEL GAUGE, RANGE: 5MTR, FLANGE OD: 140MM, FLANGE ID 30MM, PCD: 100MM, 4 HOLE, FLANGE CENTER TO FLANGE CENTER: 5MTR ] [ 1006781]</t>
  </si>
  <si>
    <t>PANEL EXHAUST FAN, SIZE: 110X110MM[ [ 1006441]</t>
  </si>
  <si>
    <t>PROPORTIONAL VALVE, MAKE- REXROTH, MNR:R901008688, 4WE 6, D6X/EG220N9K4/V, WITH COIL 220V DC-[ PROPORTIONAL VALVE, MAKE- REXROTH, MNR:R901008688, 4WE 6, D6X/EG220N9K4/V, WITH COIL 220V DC] [ 1000941]</t>
  </si>
  <si>
    <t>HORIZONTAL LEVEL SWITCH, MODEL NO:BH-008001-008, MAKE-SOR-[ HORIZONTAL MAGNETIC FLOAT LEVEL SWITCH MODEL NO: BH-008001-008, S/N: 070607654, AMP: 10 AMP AT 250VAC,PRESSURE RATING PSI: 1000PSI AT 100DEG F, SR GP: MIN .60, MOUNTING THREAD:50MM OD NPT, ELE. CONN. THREAD FORM 3/4: NPT (FEMALE) MAKE: SOR] [ 1000467]</t>
  </si>
  <si>
    <t>SEQUENCE CONTROLLER FOR AUXILIARY BOILER BURNER, MODEL NO.- 107-C, SUPPLY [1000945</t>
  </si>
  <si>
    <t>RELAY OMRAN WITH BASE, LY2N 24V DC, RELAY PLUG IN, 8PIN, DPDT 10A, LED INDICATION</t>
  </si>
  <si>
    <t>ROTAMETER-[ ROTAMETER RANGE:-0 TO 50LPM, MAKE- RECYCLE] [ 1005908]</t>
  </si>
  <si>
    <t>IGNITER RELAY-[ SUPPLY VOLTAGE : 250VAC 10A, 30VDC 10A, 50/60HZ RELAY  RU2S-A220 MAKE: IDEC ] [ 1007674]</t>
  </si>
  <si>
    <t>SINGLE RELAY - REL-MR- 24DC, NO-2961192, 10A/250V~, MAKE-PHOENIX CONTACT</t>
  </si>
  <si>
    <t>PULL CORD SWITCH, SW4038-E22 10A Pull Cord Switch, 2NO + 2NC, Make: Jayashree-[ PULL CORD SWITCH, SW4038-E22 10A Pull Cord Switch, 2NO + 2NC, Make: Jayashree ] [ 1006780]</t>
  </si>
  <si>
    <t>Water flow meter counter display.-[ Everest Waltman Flange ended type water meter 125mm diameter. Range - 0 to 200 Meter cube /hr. C.I BOdy, Conforming to IS : 2373, ISO 4064 class B, CE Marked Removable Mechanism for easy cleaning . use in ETP water inlet.] [ 1006363]</t>
  </si>
  <si>
    <t>LIMIT SWITCH, MODEL HL 5000, 2AMP, 250 VAC, 1NO+1NC, MAKE - OMRON</t>
  </si>
  <si>
    <t>LIMIT SWITCH, MODEL WLCA2, 2AMP, 250 VAC, 1NO+1NC, MAKE - OMRON</t>
  </si>
  <si>
    <t>ROTEX Make 2/2 Pulse Jet Solenoid Valve, Model : 24108-28-8G+I-230VAC-22-[ ROTEX Make 2/2 Pulse Jet Solenoid Valve, Model : 24108-28-8G+I-230VAC-22, Orifice : 28 mm, Port : 1" BSP (F), OPR Pressure : 0.5 - 8.5 Bar, Body : Die Cast Aluminum, Diaphragm Material : TPU, Coil : 230VAC, Enclosure : Plug In, Cable Entry : PG 9] [ 1005416]</t>
  </si>
  <si>
    <t>PULSING SOV COIL FOR FF, CRN DC10061 2613 and OC15330.5, PRESSURE: 125 PSI, CA76MM04D-305 2629, MAKE: GOYEN,</t>
  </si>
  <si>
    <t>GANG SOV DOUBLE ACTING COIL VOLTAGE 24VDC-[ GANG SOV DOUBLE ACTING COIL VOLTAGE 24VDC, PORT SIZE 1/4", SIX SOV BUNCH MAKE: ASCO/ROTEX] [ 1007020]</t>
  </si>
  <si>
    <t>GANG SOV SINGLE ACTING COIL VOLTAGE 24VDC-[ GANG SOV SINGLE ACTING ,COIL VOLTAGE: 24VDC, PORT SIZE 1/4" , SIX BUNCH , MAKE: ASCO/ROTEX] [ 1007022]</t>
  </si>
  <si>
    <t>AIRTAC S.SOLENOID VALVE 5/2 1/4", WITH 220 VAC COIL) DOUBLE ACTING MAKE: AIRTAC MODEL: 4V42015A(AC220V)G</t>
  </si>
  <si>
    <t>Make</t>
  </si>
  <si>
    <t>Shizong</t>
  </si>
  <si>
    <t>Dell</t>
  </si>
  <si>
    <t>Siemens</t>
  </si>
  <si>
    <t>Switzer</t>
  </si>
  <si>
    <t>SCHNEIDER ELECTRIC</t>
  </si>
  <si>
    <t>Wuxi Huadong Electric</t>
  </si>
  <si>
    <t>REXROTH</t>
  </si>
  <si>
    <t>SOR</t>
  </si>
  <si>
    <t>Recycle</t>
  </si>
  <si>
    <t>Omron</t>
  </si>
  <si>
    <t>PHOENIX CONTACT</t>
  </si>
  <si>
    <t>Jayashree</t>
  </si>
  <si>
    <t>Rotex</t>
  </si>
  <si>
    <t>Goyen</t>
  </si>
  <si>
    <t>Asco/Rotex</t>
  </si>
  <si>
    <t>Airtac</t>
  </si>
  <si>
    <t>Comment</t>
  </si>
  <si>
    <t>As per Rahul ji</t>
  </si>
  <si>
    <t>Item picture required</t>
  </si>
  <si>
    <t>Item Picture required</t>
  </si>
  <si>
    <t>Item picture required for scope</t>
  </si>
  <si>
    <t>IDCB-4E/DR/Y
Intelligence Data Collects Measure
Control Module 20 channel analog differential input three-terminal (Thermocouple) Communication Interface Standard RS-485 
Power Input-230 V AC 
Make-Wuxi Huadong Electric</t>
  </si>
  <si>
    <t>Rahulji</t>
  </si>
  <si>
    <t>Jayashree Group</t>
  </si>
  <si>
    <t>Mimic Infotech</t>
  </si>
  <si>
    <t>Phoenix Contact</t>
  </si>
  <si>
    <t>100023 &amp; 100035</t>
  </si>
  <si>
    <t>MOOG MAKE GOVERNING VALVE CONNECTOR WITH CABLE
MODEL: J761-003A, S/N: 19484
TYPE: (4 PIN CONNECTOR FOR G761-3039B VALVE WITH 1MTR CABLE.)S63JOGA4VPL
PP: 4500 PSI
PD: 3000 PSI
SIG. -42.80 TO 37.20 MA</t>
  </si>
  <si>
    <t>Considered 1</t>
  </si>
  <si>
    <t>Considered 2</t>
  </si>
  <si>
    <t>Vimal Instruments</t>
  </si>
  <si>
    <t>Prices confirmed by Rahul ji</t>
  </si>
  <si>
    <t>OIL SEAL KIT MOV 
MAKE: CHANGZHOU
MODEL: SND-Z90-18S
SR NO: 73164
SPEED-18 RPM
TORQUE- 900 NM
MOTOR- 1.5 KW, 5AMP., SUPPLY - 415 VOLT</t>
  </si>
  <si>
    <t>OIL SEAL KIT MOV 
MAKE: SHANGHAI
TYPE: 16AT / MOEE36
WIRING DIA: WD3010-100
RATED TORQUE: 2500
RATED ANGLE: 90 DEG, 90 DEG TIME 23S
POWER: 0.75KW
SUPPLY 415V, 3.5A, SERVICE: FAN IGV</t>
  </si>
  <si>
    <t>MOV POTENTIOMETER 
MAKE: CHANGZHOU
MODEL: SND-Z90-18S
SR NO.: 73164
SPEED - 18 RPM
TORQUE - 900NM
MOTOR - 1.5KW, 5 AMP, SUPPLY 415 VOLT</t>
  </si>
  <si>
    <t xml:space="preserve">MOV POTENTIOMETER 
MAKE: ROTORK
SERIAL NO. CX53140301
ACTUATOR TYPE IQM20
SPEED 36 RPM
TORQUE MAX. 81NM
LUBRICATION - SAE80EP
MOTOR RATING - 0.5KW
MOTOR SUPPLY 415-3-50 </t>
  </si>
  <si>
    <t>MOV FOLOMATIC CARD
SHANGHAI MAKE
TYPE: 16 AT / MOEE36
WIRING DIA:WD3010-100
RATED TORQUE 2500
RATED ANGLE: 90 DEG, 90 DEG TIME 23S
POWER: 0.75KW, SUPPLY 415V, 3.5A, SERVICE: FAN IGV</t>
  </si>
  <si>
    <t>SPEED SENSOR
TM0182
SENSITIVITY: 8mV/V, 200mV/mil
PREDITECH
SERVICE: BFP SHAFT SPEED</t>
  </si>
  <si>
    <t>VIBRATION  SENSOR
TM0180-07-00-05-10-02
SENSITIVITY: 8mV/V, PVTVM
ProvibTech
SERVICE: BFP SHAFT SPEED</t>
  </si>
  <si>
    <t>DUEL CHANNEL ROTATION SPEED MONITOR 
MODEL: YDM504-A00-B00 
MAKE: PROVIBTECH</t>
  </si>
  <si>
    <t>Helen</t>
  </si>
  <si>
    <t>SWPGPL-REQUEST FOR OFFER-High Voltage Motors</t>
  </si>
  <si>
    <t>High Voltage Motors</t>
  </si>
  <si>
    <t>SQUIRREL CAGE INDUCTION MOTOR  
710KW  6.6KV  50HZ  3 PHASE  76A  1485 RPM
CLASS :- F
DUTY :-S1 
CONNECTION:-Y  
TYPE / FRAME:-YFKK450-4W, IM-B3, CACA
MFG SL NO:-55200501S  
IP:-55
MAKE:WUXI HUADA MOTORS COMPANY LIMITED
FOR PA FAN</t>
  </si>
  <si>
    <t>SQUIRREL CAGE INDUCTION MOTOR  
355KW  6.6KV  50HZ  3 PHASE  40A  990 RPM 
CLASS :-F
DUTY :-S1  
CONNECTION:-Y  
TYPE / FRAME:-YFKK450-6W, IM-B3, CACA
MFG SL NO:-55200101S  
IP:-55
MAKE:WUXI HUADA MOTORS COMPANY LIMITED
FOR SA(FD) FAN</t>
  </si>
  <si>
    <t>SQUIRREL CAGE INDUCTION MOTOR  
1000KW  6.6KV  50HZ  3 PHASE  108A  RPM  
CLASS :-F
DUTY :-S1 
CONNECTION:-Y  
TYPE / FRAME:-YKK560-6W IM-B3, CACA
MFG SL NO: 55201001S
IP:-55
MAKE:WUXI HUADA MOTORS COMPANY LIMITED
FOR ID FAN</t>
  </si>
  <si>
    <t>SQUIRREL CAGE INDUCTION MOTOR  
380KW  6.6KV  50HZ  3 PHASE  45A  990 RPM  
CLASS :-F
DUTY :-S1
CONNECTION:-  TYPE / FRAME:-YMKQ500-6-6.6, IM-B3, CACA
MFG SL NO:-79G001-1726 
IP:-55
MAKE:BEIJING POWER EQUIPMENT GROUP
FOR  COAL MILL</t>
  </si>
  <si>
    <t>Power Gem (Kalpana)</t>
  </si>
  <si>
    <t>IMPEL MARKETING</t>
  </si>
  <si>
    <t>Factory can deal only with end user</t>
  </si>
  <si>
    <t>VIBRATION, ECCENTRICITY, KP &amp; OSP PROBE,
Make: Bentley Nevada,
Part No:330104-00-06-10-02-00, 3300 XL 8MM PROBE,
S/N: 168015XW</t>
  </si>
  <si>
    <t>EXTENSION CABLE,
Make: Bentley Nevada,
Part No:330130-040-01-00, 3300 XL 8MM, Ext cable serial no. 21LO1PY1</t>
  </si>
  <si>
    <t>PROXIMETOR,
P/N: 330780-50-00,
Make-BENTLY NEVADA, 3300 XL 11MM, 5 METRE SYSTEM,
S/N: 071018U5, OUTPUT:3.94V/MM(100mV/mil)</t>
  </si>
  <si>
    <t>PROXIMETOR,
P/N: 330850-50-00,
Make- BENTLY NEVADA,
3300 XL 25MM, 5 METRE SYSTEM,
OUTPUT:0.79V/MM(20mV/mil)</t>
  </si>
  <si>
    <t>PROXIMETOR,
P/N: 330180-50-00,
Make-BENTLY NEVADA,
3300 XL 8MM, 5 METRE SYSTEM,
S/N: 071018U5,
OUTPUT:7.8V/MM(200mV/mil)</t>
  </si>
  <si>
    <t>EXTENSION CABLE,
Make: Bentley Nevada,
Part No:330730-040-01-00, FOR 25MM PROBE</t>
  </si>
  <si>
    <r>
      <t xml:space="preserve">DEL &amp; HPD PROBE,
Make: Bentley Nevada,
Part No:330851-02-000-030-10-00-05, 3300 XL 25MM PROBE
</t>
    </r>
    <r>
      <rPr>
        <b/>
        <u/>
        <sz val="10"/>
        <rFont val="Calibri"/>
        <family val="2"/>
        <scheme val="minor"/>
      </rPr>
      <t xml:space="preserve">Part No: 330851-02-000-030-10-00-CN </t>
    </r>
  </si>
  <si>
    <t>Anne Comments</t>
  </si>
  <si>
    <t>Upgrade model HAA450-4-710KW 40000USD,90DAYS.</t>
  </si>
  <si>
    <t>Upgrade model HAA450-6-355KW 37000USD,90DAYS.</t>
  </si>
  <si>
    <t>Upgrade model HAA560-6-1000KW 66000USD,90DAYS.</t>
  </si>
  <si>
    <t>Old rates, raised on a safer side</t>
  </si>
  <si>
    <t>NR Relay Deacription</t>
  </si>
  <si>
    <t>NR relay display</t>
  </si>
  <si>
    <t>RCS 9627CN - NR</t>
  </si>
  <si>
    <t>MOTOR MANAGEMENT RELAY NANJING NARI FOR DISPLAY UNIT</t>
  </si>
  <si>
    <t>RCS 9625CN - NR</t>
  </si>
  <si>
    <t>FEEDER MANAGEMENT RELAY, NANJING NARI FOR DISPLAY UNIT</t>
  </si>
  <si>
    <t>TRANSFORMER MANAGEMENT RELAY, NANJING NARI FOR DISPLAY</t>
  </si>
  <si>
    <t>TRANSFORMER MANAGEMENT RELAY, NANJING NARI  FOR DISPLAY UNIT</t>
  </si>
  <si>
    <t>AI CARD 
AI CARD AI MODULE - 16 CHANNEL  
TYPE : MODICON QUANTUM
MAKE : SCHNEIDER
MODEL: 140 ACI 040 00</t>
  </si>
  <si>
    <t>CONNECTOR BNC FOR COAXIAL CABLE 
MODEL N0. RJ11</t>
  </si>
  <si>
    <t>RCS 9626CN - NR</t>
  </si>
  <si>
    <t>RCS 9624CN - NR</t>
  </si>
  <si>
    <t>RCS 9622CN - NR</t>
  </si>
  <si>
    <r>
      <rPr>
        <b/>
        <u/>
        <sz val="10"/>
        <rFont val="Calibri"/>
        <family val="2"/>
        <scheme val="minor"/>
      </rPr>
      <t>Terms &amp; Conditions</t>
    </r>
    <r>
      <rPr>
        <sz val="10"/>
        <rFont val="Calibri"/>
        <family val="2"/>
        <scheme val="minor"/>
      </rPr>
      <t xml:space="preserve">
Offer Basis: FOR Plant basis.
Delivery Time: 12 weeks from date of receipt of confirm PO 
G/Warranty: 12 months from date of  DISPATCH - only for manufacturing defects
Payment Terms: 100% along with taxes etc. against PI.
Offer Validity: 31 days from date of offer.
Any statutory changes in rate of tax etc will be applicable as on date of dispatch.
Minimum Order Qty: N/A
Standard packaging will be done for supply of above items.
100% fitment &amp; interchangeability of offered products. In case of any discrepancy, we will replace items promptly for free of cost. </t>
    </r>
  </si>
  <si>
    <t xml:space="preserve">
1. 
2. 
3. 
4. 
5.
6. 
7. 
8.
9. </t>
  </si>
  <si>
    <t>Terms &amp; Conditions</t>
  </si>
  <si>
    <t>Grand Total-INR</t>
  </si>
  <si>
    <t>GST as applicable on above. Present rate of 18%</t>
  </si>
  <si>
    <t>QTY</t>
  </si>
  <si>
    <t>ITEM DESCRIPTION</t>
  </si>
  <si>
    <t>Item Number</t>
  </si>
  <si>
    <t>PR Number</t>
  </si>
  <si>
    <t>Sr No.</t>
  </si>
  <si>
    <r>
      <t xml:space="preserve">BFP BOOSTER PUMP SUCTION MOV
DN300, PN25, BODY -WCB
FLANGE TO FLANGE TO FLANGE L - 500 mm 
FLANGE OD0 480 mm
No. OF HOLES  16
HOLE DIA - 30mm
ELECTRICALLY OPERATED MOTORISED GATE VALVE WITHOUT ACTUATOR MOV MOUNTING
NO OF HOLE -4 BOLT SIZE 16mm 
PCD 199mm
</t>
    </r>
    <r>
      <rPr>
        <b/>
        <u/>
        <sz val="10"/>
        <color rgb="FF000000"/>
        <rFont val="Calibri"/>
        <family val="2"/>
        <scheme val="minor"/>
      </rPr>
      <t>(Excluding actuators)</t>
    </r>
  </si>
  <si>
    <t>Durga</t>
  </si>
  <si>
    <t>Quote Subject line</t>
  </si>
  <si>
    <t>Compact base controller - Ghaziabad - ASVAYUJAU SALES AND SERVICES LLP</t>
  </si>
  <si>
    <t>REQUEST FOR OFFER FOR SWPGPL</t>
  </si>
  <si>
    <t>OFFER FOR SWPGPL</t>
  </si>
  <si>
    <t>MAIN STEAM GOVERNING VALVE DEH LINE UNION CONNECTORS</t>
  </si>
  <si>
    <t>LP BYPASS VALVE DISK
DRAWING NO.: C3Y201-4
MOC: A565Gr616
MAKE: SHANGHAI CCI POWER CONTROL EQUIPMENT CO LTD
DN 500/800 MM
STROKE H: 120 MM
MEDIUM : STEAM
OIL PRESSURE 14.5 MPA</t>
  </si>
  <si>
    <t>HP CV MANIPULATING BRACKET (WITH TOTAL SPRING ASSEMBLY) MAKE: DONGFANG TURBINE CO Ltd
DRAWING NUMBER: D150C-006001A</t>
  </si>
  <si>
    <t>HYDRAULIC COUPLING DUPLEX OIL FILTER HOUSING
OIL DOUBLE FILTER
DRAWING NO. YOT46-508-13</t>
  </si>
  <si>
    <t>HP CV ACTUATOR RIGHT &amp; LEFT SIDE CYLINDER (INCLUDED O-RINGS)
MAKE:  DONGFANG TURBINE CO Ltd
DRAWING NUMBER: D150D-332000A
MOC: 2CR13</t>
  </si>
  <si>
    <t>consider</t>
  </si>
  <si>
    <t>Rahul sir</t>
  </si>
  <si>
    <t>MOP Shaft With Impeller
Part No. D125A-511100A
Make - Dong Fang
MOC  is 30Cr2Ni4MoV</t>
  </si>
  <si>
    <t>NUM</t>
  </si>
  <si>
    <t>offer in 2022</t>
  </si>
  <si>
    <t>VPC-TB IN DEH PANEL VPC-TB IN DEH PANEL
MAKE- GE ENERGY
MODEL NO-369B1878G0009.</t>
  </si>
  <si>
    <t>REQUEST FOR OFFER-SWPGPL-TMD</t>
  </si>
  <si>
    <t>INBOARD BEARING OF SECONDARY WHEEL SHAFT FOR HYDRAULIC COUPLING 
MODEL: YOT 46-508-08
MAKE: SPEM</t>
  </si>
  <si>
    <t>OUTBOARD BEARING OF SECONDARY WHEEL FOR HYDRAULIC COUPLING 
MODEL: YOT 46-508-10
MAKE: SPEM</t>
  </si>
  <si>
    <t>BFP HYD COUP THRUST BRG (1SET=20NOS PADS, THRUST COLLAR 1 NO)
DRAWING NO: YOT 46-508
MAKE: SPEM</t>
  </si>
  <si>
    <t>OUT BOARD BEARING OF INPUT SHAFT FOR HYDRAULIC COUPLING 
MODEL: YOT 46-508-02
MAKE: SPEM</t>
  </si>
  <si>
    <t>IN BOARD BEARING OF INPUT SHAFT FOR HYDRAULIC COUPLING 
MODEL: YOT 46-508-03
MAKE: SPEM</t>
  </si>
  <si>
    <t>OUT BOARD BEARING OFSMALL GEAR FOR HYDRAULIC COUPLING 
MODEL: YOT 46-508-04
MAKE: SPEM</t>
  </si>
  <si>
    <t>INBOARD BEARING OF SMALL GEAR FOR HYDRAULIC COUPLING 
MODEL: YOT 46-508-06
MAKE: SPEM</t>
  </si>
  <si>
    <t>Consider</t>
  </si>
  <si>
    <r>
      <rPr>
        <b/>
        <u/>
        <sz val="10"/>
        <rFont val="Calibri"/>
        <family val="2"/>
        <scheme val="minor"/>
      </rPr>
      <t>Terms &amp; Conditions</t>
    </r>
    <r>
      <rPr>
        <sz val="10"/>
        <rFont val="Calibri"/>
        <family val="2"/>
        <scheme val="minor"/>
      </rPr>
      <t xml:space="preserve">
Offer Basis: FOR Plant basis.
Delivery Time: 28 weeks from date of receipt of confirm PO 
G/Warranty: 12 months from date of  DISPATCH - only for manufacturing defects
Payment Terms: 100% along with taxes etc. against PI.
Offer Validity: 31 days from date of offer.
Any statutory changes in rate of tax etc will be applicable as on date of dispatch.
Minimum Order Qty: N/A
Standard packaging will be done for supply of above items.
100% fitment &amp; interchangeability of offered products. In case of any discrepancy, we will replace items promptly for free of cost. </t>
    </r>
  </si>
  <si>
    <t>LIMIT SWITCH
MAKE: YAMATAKE NK 82T605
ELECTRICAL RATINGS : 5A-250 VAC, 0.4A-125 V DC, 0.2A-250 V DC
AMBIENT TEMPERATURE : 60 DEG MAX
CAT LIST :VCX-500 0448P</t>
  </si>
  <si>
    <t>COAL FEEDER CONTROLLER MICRO-TECH 2000
INTEGRATOR MODEL 2101
PART NO.047650
MAKE: RAMSAY</t>
  </si>
  <si>
    <t>MINIMUM PRESSURE RELIEF VALVE DF40-04-06 
FOR COMPRESSOR MODEL FHOG340W</t>
  </si>
  <si>
    <t>OIL CUT OFF VALVE DF16-06-10 
FOR COMPRESSOR MODEL FHOG340W</t>
  </si>
  <si>
    <t>Star Wheel  SLICE DF40-02-0449 
FOR COMPRESSOR MODEL FHOG340W</t>
  </si>
  <si>
    <t>Star wheel body DF40-02-0450 
FOR COMPRESSOR MODEL FHOG340W</t>
  </si>
  <si>
    <t>BEARING SEAT FOR STAR WHEEL OF 340W 
AIR COMPRESSOR  DF40-02-0454  -  2</t>
  </si>
  <si>
    <t>BEARING SEAT FOR STAR WHEEL OF 340W 
AIR COMPRESSOR DF40-02-0437 - 2</t>
  </si>
  <si>
    <t>BEARING SEAT FOR MAIN SHAFT OF 340W 
AIR COMPRESSOR DF30-02-0426 - 1</t>
  </si>
  <si>
    <t>AIR INLET VALVE DF30-01-04 
FOR COMPRESSOR MODEL FHOG340W</t>
  </si>
  <si>
    <t>OIL INJECTED PIPE DF 20-06-09 
FOR 340W COMPRESSOR</t>
  </si>
  <si>
    <t>OIL INJECTED PIPE DS 20-06-11 
FOR 340W COMPRESSOR</t>
  </si>
  <si>
    <t>SPRING DF 10-02-0439 
FOR STAR WHEEL</t>
  </si>
  <si>
    <t>SPRING DF 40-02-0444 
FOR STAR WHEEL</t>
  </si>
  <si>
    <t>SPRING DF 60-06-1008 
FOR STAR WHEEL</t>
  </si>
  <si>
    <t>SHEILD RING FOR HOLE DF 20-02-0414 
FOR COMPRESSOR MODEL FHOG340W</t>
  </si>
  <si>
    <t>SHEILD RING FOR SHAFT DF 20-02-0415 
FOR COMPRESSOR MODEL FHOG340W</t>
  </si>
  <si>
    <t>ASH COM Shield ring for shaft DF40-02-0442</t>
  </si>
  <si>
    <t>FLOW REGULATOR DF40-04-23 IAC FHOG180W</t>
  </si>
  <si>
    <t>OIL RETURN VALVE DF40-04-24 
FOR COMPRESSOR MODEL FHOG340W</t>
  </si>
  <si>
    <t>Valve DF40-04-22 SAC FHOG340W</t>
  </si>
  <si>
    <t>DS-40-05-37 TARGET TYPE FLOWMETER 
FOR 340W COMPRESSOR</t>
  </si>
  <si>
    <t>ASH COMPRESSOR OIL FILTER  BODY DF 20-06-06</t>
  </si>
  <si>
    <t>Kalpana(Thermoramsey)</t>
  </si>
  <si>
    <t xml:space="preserve">	
ELECTRIC VALVE ACTUATOR
TYPE: ZB40-18/40
SPEED 18, SET TORQUE: OPEN-300 Nm
CLOSE-210Nm, 415V, 50HZ, 0.37 KW, 1.65 A, 4 POLE, 3 PH MOTOR
DUTY S2-10
IP 55
Std. JB/8528-1997
Make : CHANZHOU 
SER: CF DISCH MOV
Only Actuators</t>
  </si>
  <si>
    <t>ELECTRIC VALVE ACTUATOR 
TYPE: ZB40-18/40
SPEED 18, SET 
TORQUE: OPEN-400 Nm
CLOSE-280Nm, 415V, 50HZ, 0.75 KW, 2.6 A, 4 POLE, 3 PH MOTOR
DUTY S2-10
IP 55, Std. JB/8528-1997
Make : CHANZHOU 
SER: CF SUC MOV
Only Actuators</t>
  </si>
  <si>
    <t xml:space="preserve">3% discount </t>
  </si>
  <si>
    <t>Actuator with motor</t>
  </si>
  <si>
    <t>anne remarks</t>
  </si>
  <si>
    <r>
      <rPr>
        <b/>
        <u/>
        <sz val="10"/>
        <rFont val="Calibri"/>
        <family val="2"/>
        <scheme val="minor"/>
      </rPr>
      <t>Terms &amp; Conditions</t>
    </r>
    <r>
      <rPr>
        <sz val="10"/>
        <rFont val="Calibri"/>
        <family val="2"/>
        <scheme val="minor"/>
      </rPr>
      <t xml:space="preserve">
Offer Basis FOR Site Basis.
Delivery Time: 14-16 weeks from date of receipt of confirm PO
G/Warranty: 12 months from date of DISPATCH - only for manufacturing defects
Payment Terms: 100% along with taxes etc. against PI.
Offer Validity: 31 days from date of offer.
Any statutory changes in rate of tax etc. will be applicable as on date of dispatch.
Minimum Order Qty: As offered
Standard packaging will be done for supply of above items.
Our offer confirm for 100% fitment &amp; interchangeability of offered products. In case of any discrepancy, we will replace items promptly for free of cost. </t>
    </r>
  </si>
  <si>
    <t>need pic</t>
  </si>
  <si>
    <t>15 days</t>
  </si>
  <si>
    <t>IMIT SWITCH BOX APL510N- YONGDELI</t>
  </si>
  <si>
    <t>DUAL CHANNEL ROTATION SPEED MONITOR, 
MODEL : YDM504-A00-B00 
MAKE : PROVIBTECH</t>
  </si>
  <si>
    <t>LIMIT SWITCH
MAKE: YAMATAKE NK 82T605, ELECTRICAL RATINGS : 5A-250 VAC 0.4A-125 V DC, 0.2A-250 V DC
AMBIENT TEMPERATURE : 60 DEG MAX
CAT LIST :VCX-500 0448P</t>
  </si>
  <si>
    <t>VIBRATION SENSOR
P/N: YTM301-A00-B03-C00-D00-E00-F00-G00
FULL SCALE: 0-200MICRO METER, 
YTM301 
MAKE- PREDITECH
SERVICE: BFP VIBRATION</t>
  </si>
  <si>
    <t>SPEED SENSOR
TM0182 
SENSITIVITY: 8MV/V
200MV/MIL
MAKE - PREDITECH
SERVICE: BFP SHAFT SPEED</t>
  </si>
  <si>
    <t>Each set includes 2 star wheels and accessories. If only one star wheel is needed, the unit price 737USD.</t>
  </si>
  <si>
    <t>Each set includes 2 star wheel bodies and accessories . If only one star wheel body is needed, the unit price is 265     USD.</t>
  </si>
  <si>
    <t>Delivery time 2 weeks.</t>
  </si>
  <si>
    <t>The manufacturer found that this accessory is a copper pipe, with a length of 3 meters per piece.</t>
  </si>
  <si>
    <t>88*1.3</t>
  </si>
  <si>
    <t>The manufacturer found that this accessory is a copper pipe.Please share item name plate pic so as  to offer correctly</t>
  </si>
  <si>
    <t xml:space="preserve">Our offer is only one star wheel. </t>
  </si>
  <si>
    <r>
      <rPr>
        <b/>
        <u/>
        <sz val="10"/>
        <rFont val="Calibri"/>
        <family val="2"/>
        <scheme val="minor"/>
      </rPr>
      <t>Terms &amp; Conditions</t>
    </r>
    <r>
      <rPr>
        <sz val="10"/>
        <rFont val="Calibri"/>
        <family val="2"/>
        <scheme val="minor"/>
      </rPr>
      <t xml:space="preserve">
Offer Basis: FOR Plant basis.
Delivery Time: 14-16 weeks from date of receipt of confirm PO 
G/Warranty: 12 months from date of  DISPATCH - only for manufacturing defects
Payment Terms: 100% along with taxes etc. against PI.
Offer Validity: 31 days from date of offer.
Any statutory changes in rate of tax etc will be applicable as on date of dispatch.
Minimum Order Qty: As offered
Standard packaging will be done for supply of above items.
100% fitment &amp; interchangeability of offered products. In case of any discrepancy, we will replace items promptly for free of cost. </t>
    </r>
  </si>
  <si>
    <t>our offer is  only one star wheel body .</t>
  </si>
  <si>
    <t>LP HP HEATER
CV3 &amp; CV4 CONTROL MODULE
EPT: 103-40034 LF-4561
MODEL: DF-SFBC0003
MAKE: DEA
SERIAL NO.: 0701AC010120</t>
  </si>
  <si>
    <t>RELAY
MODEL NO.: LY2NJ
CONFIGURATION: 8-PIN
SUPPLY VOLTAGE: 24V DC
MAKE: OMRON</t>
  </si>
  <si>
    <t>RELAY WITH BASE
MODEL: MY2NJ
CONFIGURATION: 8-PIN
SUPPLY VOLTAGE: 24V DC
MAKE: OMRON</t>
  </si>
  <si>
    <t xml:space="preserve">RELAY WITH BASE
MODEL: RX4AB2BD
CONTACT RATING: 6A
CONFIGURATION: 14-PIN (C/O)
SUPPLY VOLTAGE: 24V DC
FEATURE: WITH LED INDICATOR
FEATURE: WITH LED INDICATOR
MAKE: SCHNEIDER ELECTRIC
</t>
  </si>
  <si>
    <t>RELAY WITH BASE
MODEL: RU4S-A220
CONTACT RATING: 6A
CONFIGURATION: 14-PIN
MAKE: IDEC</t>
  </si>
  <si>
    <t>PROXIMITY PROBE
PROBE SIZE: 8 MM
MODEL: TM0180-A07-B00-C05-D10
MAKE: PROVIBTECH
APPLICATION: BFP RADIAL VIBRATION MONITORING</t>
  </si>
  <si>
    <t>PROXIMITY TRANSDUCER DRIVER
TYPE: 5MM/8MM COMPATIBLE DRIVER
MODEL: TM0182
MAKE: PROVIBTECH</t>
  </si>
  <si>
    <t>VIBRATION SENSOR
PART NO.: YTM301-A00-B03-C00-D00-E00-F00-G00
MODEL: YTM301
FULL SCALE RANGE: 0–200 MICRO METER
MAKE: PREDITECH
APPLICATION: BFP VIBRATION MONITORING</t>
  </si>
  <si>
    <t>PROXIMITY PROBE
MODEL: TM0180-07-00-05-10-02
MAKE: PVTVM</t>
  </si>
  <si>
    <t>LUBE OIL PRESSURE GAUGE
MODEL: T5500
TYPE: WITHOUT CONTACT
PRESSURE RANGE: 0–6.0 BAR
PROCESS CONNECTION: G1/2 THREADED</t>
  </si>
  <si>
    <t>Material code</t>
  </si>
  <si>
    <t xml:space="preserve">	
REPAIR KIT,ESP PULSE VALVE 3" BAG FILTER (DIAPHRAM)
REPAIR KIT, ESP PULSE VALVE 3 INCH, PRESSURE RANGE: 100 PSI, Model:
TH--4475-B FOR ESP BAG FILTER</t>
  </si>
  <si>
    <t>REPAIR KIT FOR ESP PULSE VALVE (DIAPHRAGM)
ESP BAG FILTER
Size:  3 Inch
Pressure Range: 100 PSI
Model: TH-4475-B FOR ESP BAG FILTER</t>
  </si>
  <si>
    <t>Kalpana</t>
  </si>
  <si>
    <r>
      <t>SUPPLY VOLTAGE: </t>
    </r>
    <r>
      <rPr>
        <b/>
        <sz val="9"/>
        <color rgb="FF3366FF"/>
        <rFont val="Poppins"/>
      </rPr>
      <t>24V DC,10A</t>
    </r>
  </si>
  <si>
    <t>CONFIGURATION: SMALL 8-PIN
SUPPLY VOLTAGE: 24V DC,5A</t>
  </si>
  <si>
    <t>RXM4AB2BD</t>
  </si>
  <si>
    <t>Full model required</t>
  </si>
  <si>
    <t>Not Received</t>
  </si>
  <si>
    <t xml:space="preserve">Remarks </t>
  </si>
  <si>
    <t>Compressor LCD Display Module
Model No.: TM404AD P1-1 (200802201442)
Make: Made in China</t>
  </si>
  <si>
    <t>Old PO</t>
  </si>
  <si>
    <t>Helen Old Rate</t>
  </si>
  <si>
    <t xml:space="preserve">VSLP/P0/25260448 </t>
  </si>
  <si>
    <t>Old PO Dec'25</t>
  </si>
  <si>
    <t>HMI for Compressor
Model: Elektronikon
Part No.: 1900 0710 32
Serial No.: 31101010104
Supply: 24V AC / 22 VA</t>
  </si>
  <si>
    <t>50249 &amp; 50780</t>
  </si>
  <si>
    <t>MOV POWER CARD
MAKE: CHANGZHOU
MODEL: SND-Z90-18S
SR NO: 73164
SPEED-18 RPM
TORQUE- 900 NM
MOTOR- 1.5KW, 5AMP
SUPPLY - 415 VOLT</t>
  </si>
  <si>
    <t>POWER CARD 
FOR YANGZHOU VALVE ACTUATOR 
TYPE: DZW 30-24-A01-WK2-ZTD06
TURNS-50
OUTPUT SPEED 24R/MIN
PROTECTION DEGREE-IP, MIN/MAX-450/150NM, NO:081126012 MAKE: YANGZHOU ELECTRIC POWER EQUIPMENT</t>
  </si>
  <si>
    <t>DISPLAY CARD 
FOR YANGZHOU VALVE ACTUATOR 
TYPE: DZW 30-24-A01-WK2-ZTD06
TURNS-50
OUTPUT SPEED 24R/MIN
PROTECTION DEGREE-IP
CONTROL TORQUE-MIN/MAX-450/150NM, NO:081126012 
MAKE: YANGZHOU ELECTRIC POWER EQUIPMENT</t>
  </si>
  <si>
    <t>CONTROL CARD 
FOR YANGZHOU VALVE ACTUATOR 
TYPE: DZW 30-24-A01-WK2-ZTD06
TURNS-50
OUTPUT SPEED 24R/MIN
PROTECTION DEGREE-IP
CONTROL TORQUE-MIN/MAX-450/150NM, NO:081126012 
MAKE: YANGZHOU ELECTRIC POWER EQUIPMENT</t>
  </si>
  <si>
    <t>FEEDBACK CARD 
FOR YANGZHOU VALVE ACTUATOR 
TYPE: DZW 30-24-A01-WK2-ZTD06
TURNS-50
OUTPUT SPEED 24R/MIN
PROTECTION DEGREE-IP
CONTROL TORQUE-MIN/MAX-450/150NM, NO:081126012 
MAKE: YANGZHOU ELECTRIC POWER EQUIPMENT</t>
  </si>
  <si>
    <t>CHANGZHOU MAKE ACTUATOR 
(CHANGZHOU SCHNEIDER ACTUATOR
TYPE: SND-Z60-18S
SPEED :18R/MIN
TORQUE: 600N-M
POWER SUPPLY: 415V, 50HZ,3PH, IP68
MOTOR POWER :1.1KW,4A,4POLES
DUTY:S2-15)</t>
  </si>
  <si>
    <t>MOV GLOBE VALVE
DN-32
CLASS-1500 
JOINT TYPE-BUTT TYPE: SND-ZI51-18S
TORQUE: 150 N-M
SPEED: 18 RPM
WEIGHT: 40 KG
POWER SUPPLY: 415 V,50HZ,3 PH, IP 68
MOTOR POWER: 0.25 KW,1.4 A,4 POLES, SR NO: 73536
MAKE: CHANGZHOU- SCHEIDER 
MAX TEMP. DEGREE CELSIUS -450 
MAX PRESSURE KG/CM2-140
APPLICATION : CBD ON/OFF VALVE WITH ACTUATOR</t>
  </si>
  <si>
    <t>50247, 50248, 50715, 50739 &amp; 50780</t>
  </si>
  <si>
    <t>Emma 8th July'25</t>
  </si>
  <si>
    <t>Need nameplate Picture</t>
  </si>
  <si>
    <t>Need nameplate Picture / Item Picture</t>
  </si>
  <si>
    <t>Need Photo of the item</t>
  </si>
  <si>
    <t>Old offer</t>
  </si>
  <si>
    <t xml:space="preserve"> SUPPLY OF MOV CARD - Shilpa's sheet</t>
  </si>
  <si>
    <t>Considred</t>
  </si>
  <si>
    <t>SHANGHAI YI MAKE VALVE ACTUATOR
TYPE: 16AT/M0FF36
WIRING DIA.WD3010-100
SERIAL NO.35943
RATED TORQUE:2500NM
RATING ANGLE 90DEG
ENCLOSURE:WT/M
TEMP:-30DEC+70DEG
LUBRICANT:SAE90EP
RATED MOTOR POWER: 0.75KW] [ 1008597]</t>
  </si>
  <si>
    <t>MOV POWER CARD
MAKE: CHANGZHOU
MODEL: SND-Z90-18S
SR NO: 73164
SPEED-18 RPM
TORQUE- 900 NM
MOTOR- 1.5KW, 5AMP
SUPPLY - 415 VOLT [ 1005100]</t>
  </si>
  <si>
    <t>CONTROL CARD FOR THE ACTUATOR
ACTUATOR MODEL: SND-Z51-18S
SERIAL NO: 73077
CARD MODEL NO.-TP400-PLC-608 (VERSION 1.6) 50NM, 18RPM
VOLT: 415V, 50HZ, 3PH
MOTOR: 0.09KW, 0.63AMP, 4POLE, IP68
WEIGHT: 45KG
DUTY: S2-15
MAKE: CHANG ZHOU SCHNEIDER [1008640]</t>
  </si>
  <si>
    <t>POWER CARD FOR YANGZHOU VALVE
ACTUATOR TYPE: DZW 30-24-A01-WK2-ZTD06
TURNS-50
OUTPUT SPEED 24R/MIN
PROTECTION DEGREE-IP
MIN/MAX-450/150Nm
NO:081126012
MAKE: YANGZHOU ELECTRIC POWER EQUIPMENT ] [ 1008642]</t>
  </si>
  <si>
    <t>POWER CARD FOR YANGZHOU VALVE ACTUATOR
TYPE: DZW 30-24-A01-WK2-ZTD06
TURNS-50
OUTPUT SPEED 24R/MIN
PROTECTION DEGREE-IP
MIN/MAX-450/150Nm
NO:081126012
MAKE: YANGZHOU ELECTRIC POWER EQUIPMENT ] [ 1008642]</t>
  </si>
  <si>
    <t>DISPLAY CARD FOR YANGZHOU VALVE
ACTUATOR TYPE: DZW 30-24-A01-WK2-ZTD06
TURNS-50
OUTPUT SPEED 24R/MIN
PROTECTION DEGREE-IP
CONTROL TORQUE-MIN/MAX-450/150Nm
NO:081126012
MAKE: YANGZHOU ELECTRIC POWER EQUIPMENT ] [ 1008643]</t>
  </si>
  <si>
    <t>CONTROL CARD FOR YANGZHOU VALVE
ACTUATOR TYPE: DZW 30-24-A01-WK2-ZTD06
TURNS-50
OUTPUT SPEED 24R/MIN
PROTECTION DEGREE-IP
CONTROL TORQUE-MIN/MAX-450/150Nm
NO:081126012
MAKE: YANGZHOU ELECTRIC POWER EQUIPMENT] [ 1008644]</t>
  </si>
  <si>
    <t>FEEDBACK CARD FOR YANGZHOU VALVE
ACTUATOR TYPE: DZW 30-24-A01-WK2-ZTD06
TURNS-50
OUTPUT SPEED 24R/MIN
PROTECTION DEGREE-IP
CONTROL TORQUE-MIN/MAX-450/150Nm
NO:081126012
MAKE: YANGZHOU ELECTRIC POWER EQUIPMENT] [ 1008645]</t>
  </si>
  <si>
    <t>Need item name plate picture for offer</t>
  </si>
  <si>
    <t>can you give me photo ?</t>
  </si>
  <si>
    <t>MOV POWER CARD 
MAKE: ROTORK
ACTUATOR TYPE IQM20
SPEED 36RPM
TORQUE MAX. 81NM
LUBRICATION-SAE80EP
MOTOR RATING -0.5KW
MOTOR SUPPLY 415-3-50] [ 1006394]</t>
  </si>
  <si>
    <t>MOV POTENTIOMETER 
MODEL: SND-Z90-18S
SR NO.: 73164
SPEED-18RPM
TORQUE-900NM 
MOTOR-1.5KW, 5 AMP
SUPPLY 415 VOLT
MAKE: CHANGZHOU] [ 1007048]</t>
  </si>
  <si>
    <t xml:space="preserve">can you give me photo ? </t>
  </si>
  <si>
    <t>MOV POTENTIOMETER 
SERIAL NO. CX53140301
ACTUATOR TYPE IQM20
SPEED 36RPM
TORQUE MAX. 81NM
LUBRICATION-SAE80EP
MOTOR RATING-0.5KW
MOTOR SUPPLY 415-3-50
MAKE : ROTORK] [ 1007045]</t>
  </si>
  <si>
    <t>MOV FOLOMATIC CARD
TYPE: 16AT/MOEE36
WIRING DIA:WD3010-100
RATED TORQUE2500
RATED ANGLE: 90 DEG, 90 DEG TIME 23S
POWER: 0.75KW
SUPPLY 415V, 3.5A
SERVICE: FAN IGV
MAKE : SHANGHAI [ 1007091]</t>
  </si>
  <si>
    <t>MOV FEEDBACK CARD 
COM NO: 91006167  SA6E45 
T CLOSE:20-60  T 
OPEN: 20-60 
RPM:45  
WD NO:3-WDP-A1B 
IP 65  
MAKE: AUMA</t>
  </si>
  <si>
    <t xml:space="preserve">can you give me a photo ? </t>
  </si>
  <si>
    <t>PNEUMATIC ACTUATOR
MODEL NO : T-125-2
TORQUE : 300NM/5BAR
 PRESSURE : MAX 10 BAR
MAKE : PNEUTO] [ 1000184]</t>
  </si>
  <si>
    <t>PNUMATIC ACTUATOR
TYPE: ED 100/A
SERIAL NO.: 60063 
MAKE: EL-O-MATIC] [ 1008511]</t>
  </si>
  <si>
    <t>updated to FDA100
FDA100  
F Series Pneumatic Valve Actuator
Design: Double acting Rack and Pinion
Output Torque (80 psi air): 931 lbf.in
Output Torque (60 psi air): 696 lbf.in
ISO 5211 Direct Mount: F05, F07
Female Drive Shaft: 19 mm
Temperature Range: -4°F to 175°F</t>
  </si>
  <si>
    <t>(Replace price with program)</t>
  </si>
  <si>
    <t>EA</t>
  </si>
  <si>
    <t>Rate Given by Rahul Sir</t>
  </si>
  <si>
    <t>For the HMI compressor, the price we have quoted is quite high compared to the market, as they are getting it for 60,125/-</t>
  </si>
  <si>
    <t>Item No 1</t>
  </si>
  <si>
    <t>Item No 2</t>
  </si>
  <si>
    <t>Coversation with Sandip</t>
  </si>
  <si>
    <t>Spoke with Sandeep. He mentioned that for the first item, a quote of 14,000/- was given 2 months ago, and now it is 19,000/- Now its two high</t>
  </si>
  <si>
    <t>Product Pricture required</t>
  </si>
  <si>
    <t>Part num is not complete</t>
  </si>
  <si>
    <t>Discount given by Sir 18.50L + gst on package
reduce in pvtm &amp; something in item 1</t>
  </si>
  <si>
    <t>Material</t>
  </si>
  <si>
    <t>Short Text</t>
  </si>
  <si>
    <t>SEALING GLUE-DRG. NO. HDJ-892 FOR GENERATOR</t>
  </si>
  <si>
    <t>HP MAIN STEAM GUIDE TUBE (LEAD PIPE) -STUD M64 X 3</t>
  </si>
  <si>
    <t>FLUORINE RUBBER O TYPE SEAL RING FOR EH SYSTEM EHDEH SYSTEM SEAL KIT</t>
  </si>
  <si>
    <t>GASKET FOR SEAL BODY OF GENERATOR</t>
  </si>
  <si>
    <t>SET</t>
  </si>
  <si>
    <t>GENERATOR END SEALING STRIPS- POLYMER OUTER OIL DEFLECTOR FOR GENERATOR DRAWING NO: 01J3246S27 GENERATOR MAKE: HARBIN ELECTRIC</t>
  </si>
  <si>
    <t>GENERATOR END SEALING STRIPS- COPPER, OUTER OIL DEFLECTOR  FOR GENERATOR ,DRAWING NO: 01J3246S27, GENERATOR MAKE: HARBIN ELECTRI</t>
  </si>
  <si>
    <t>PR</t>
  </si>
  <si>
    <t>SL No</t>
  </si>
  <si>
    <t xml:space="preserve"> MAKE : HERBIN ELECTRIC</t>
  </si>
  <si>
    <t>Unit Price in INR</t>
  </si>
  <si>
    <t>Last PO Date/Email Date</t>
  </si>
  <si>
    <t>Unit Price in USD/Alston</t>
  </si>
  <si>
    <t>Need Drg</t>
  </si>
  <si>
    <t>S Total</t>
  </si>
  <si>
    <t>Tax</t>
  </si>
  <si>
    <t>G Tota</t>
  </si>
  <si>
    <t>150*</t>
  </si>
  <si>
    <t>LP ROTOR COUPLING REAMER BOLT
PART NAME : COUPLING BOLT – LP ROTOR COUPLING REAMER BOLT
PART NUMBER : 73.276.006
DRAWING NO. : 73.276.006 / 73B.273Z(B)-28
APPLICATION : LP Rotor Coupling
TURBINE &amp; GENERATOR MAKE : HARBIN ELECTRIC MACHINERY COMPANY LIMITED (HEMC)</t>
  </si>
  <si>
    <t>Alston</t>
  </si>
  <si>
    <t>Mechanical Seal / Framework Oil Seal
Part No.: 03061
Pump Type: HSG120 × 4–42</t>
  </si>
  <si>
    <t>Bearing No.: 6006 DU
Type: Deep Groove Sealed Ball Bearing
Inner Diameter (ID): 30 mm
Outer Diameter (OD): 55 mm
Race Width: 13 mm</t>
  </si>
  <si>
    <t>Revised</t>
  </si>
  <si>
    <t>Intl</t>
  </si>
  <si>
    <t>Considered Given by Sir</t>
  </si>
  <si>
    <t>Old PO Dec'25 INR</t>
  </si>
  <si>
    <t>Helen New</t>
  </si>
  <si>
    <t>Rate given by Rahul Sir after considering Helen’s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</si>
</sst>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3" formatCode="_ * #,##0.00_ ;_ * \-#,##0.00_ ;_ * &quot;-&quot;??_ ;_ @_ 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([$INR]\ * #,##0.00_);_([$INR]\ * \(#,##0.00\);_([$INR]\ * &quot;-&quot;??_);_(@_)"/>
    <numFmt numFmtId="167" formatCode="_(* #,##0.0_);_(* \(#,##0.0\);_(* &quot;-&quot;??_);_(@_)"/>
    <numFmt numFmtId="168" formatCode="0_ "/>
    <numFmt numFmtId="169" formatCode="_ * #,##0.0_ ;_ * \-#,##0.0_ ;_ * &quot;-&quot;??_ ;_ @_ "/>
    <numFmt numFmtId="170" formatCode="_ [$INR]\ * #,##0.00_ ;_ [$INR]\ * \-#,##0.00_ ;_ [$INR]\ * &quot;-&quot;??_ ;_ @_ "/>
    <numFmt numFmtId="171" formatCode="_-[$$-409]* #,##0.00_ ;_-[$$-409]* \-#,##0.00\ ;_-[$$-409]* &quot;-&quot;??_ ;_-@_ "/>
    <numFmt numFmtId="172" formatCode="[$-409]d/mmm/yy;@"/>
    <numFmt numFmtId="173" formatCode="_ [$₹-4009]\ * #,##0.00_ ;_ [$₹-4009]\ * \-#,##0.00_ ;_ [$₹-4009]\ * &quot;-&quot;??_ ;_ @_ "/>
    <numFmt numFmtId="174" formatCode="_-[$$-409]* #,##0_ ;_-[$$-409]* \-#,##0\ ;_-[$$-409]* &quot;-&quot;??_ ;_-@_ "/>
    <numFmt numFmtId="175" formatCode="_ [$₹-4009]\ * #,##0_ ;_ [$₹-4009]\ * \-#,##0_ ;_ [$₹-4009]\ * &quot;-&quot;??_ ;_ @_ "/>
    <numFmt numFmtId="176" formatCode="_ [$¥-804]* #,##0.00_ ;_ [$¥-804]* \-#,##0.00_ ;_ [$¥-804]* &quot;-&quot;??_ ;_ @_ "/>
    <numFmt numFmtId="177" formatCode="\$#,##0.00;\-\$#,##0.00"/>
    <numFmt numFmtId="178" formatCode="[$-409]d\-mmm\-yy;@"/>
    <numFmt numFmtId="179" formatCode="_ [$₹-4009]\ * #,##0.0_ ;_ [$₹-4009]\ * \-#,##0.0_ ;_ [$₹-4009]\ * &quot;-&quot;?_ ;_ @_ "/>
  </numFmts>
  <fonts count="4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Tahoma"/>
      <family val="2"/>
    </font>
    <font>
      <b/>
      <sz val="9"/>
      <color rgb="FF000000"/>
      <name val="Tahoma"/>
      <family val="2"/>
    </font>
    <font>
      <b/>
      <sz val="9"/>
      <name val="Tahoma"/>
      <family val="2"/>
    </font>
    <font>
      <sz val="9"/>
      <color rgb="FF000000"/>
      <name val="Tahoma"/>
      <family val="2"/>
    </font>
    <font>
      <sz val="9"/>
      <name val="Tahoma"/>
      <family val="2"/>
    </font>
    <font>
      <b/>
      <u/>
      <sz val="9"/>
      <name val="Tahoma"/>
      <family val="2"/>
    </font>
    <font>
      <b/>
      <sz val="9"/>
      <color rgb="FF000000"/>
      <name val="Calibri Light"/>
      <family val="2"/>
    </font>
    <font>
      <b/>
      <sz val="9"/>
      <name val="Calibri Light"/>
      <family val="2"/>
    </font>
    <font>
      <sz val="9"/>
      <color theme="1"/>
      <name val="Calibri Light"/>
      <family val="2"/>
    </font>
    <font>
      <sz val="9"/>
      <color rgb="FF000000"/>
      <name val="Calibri Light"/>
      <family val="2"/>
    </font>
    <font>
      <sz val="9"/>
      <name val="Calibri Light"/>
      <family val="2"/>
    </font>
    <font>
      <b/>
      <u/>
      <sz val="9"/>
      <name val="Calibri Light"/>
      <family val="2"/>
    </font>
    <font>
      <b/>
      <u/>
      <sz val="9"/>
      <color rgb="FF000000"/>
      <name val="Tahoma"/>
      <family val="2"/>
    </font>
    <font>
      <b/>
      <sz val="10"/>
      <color rgb="FF000000"/>
      <name val="Calibri Light"/>
      <family val="2"/>
    </font>
    <font>
      <b/>
      <sz val="10"/>
      <name val="Calibri Light"/>
      <family val="2"/>
    </font>
    <font>
      <sz val="10"/>
      <name val="Calibri Light"/>
      <family val="2"/>
    </font>
    <font>
      <b/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u/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Tahoma"/>
      <family val="2"/>
    </font>
    <font>
      <sz val="11"/>
      <color rgb="FF000000"/>
      <name val="Calibri"/>
      <family val="2"/>
    </font>
    <font>
      <b/>
      <u/>
      <sz val="10"/>
      <color rgb="FF000000"/>
      <name val="Calibri"/>
      <family val="2"/>
      <scheme val="minor"/>
    </font>
    <font>
      <sz val="10"/>
      <color rgb="FF515559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color rgb="FF000000"/>
      <name val="Calibri Light"/>
      <family val="2"/>
    </font>
    <font>
      <sz val="9"/>
      <color rgb="FF000000"/>
      <name val="Poppins"/>
    </font>
    <font>
      <sz val="10"/>
      <color theme="1"/>
      <name val="Arial"/>
      <family val="2"/>
    </font>
    <font>
      <sz val="9"/>
      <color rgb="FF222222"/>
      <name val="Poppins"/>
    </font>
    <font>
      <b/>
      <sz val="9"/>
      <color rgb="FF3366FF"/>
      <name val="Poppins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</font>
    <font>
      <b/>
      <sz val="10"/>
      <color rgb="FF3366FF"/>
      <name val="Calibri"/>
      <family val="2"/>
      <scheme val="minor"/>
    </font>
    <font>
      <sz val="10.5"/>
      <color rgb="FF000000"/>
      <name val="Arial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4" fillId="0" borderId="0"/>
    <xf numFmtId="172" fontId="1" fillId="0" borderId="0"/>
    <xf numFmtId="0" fontId="1" fillId="0" borderId="0"/>
    <xf numFmtId="0" fontId="38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365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165" fontId="6" fillId="0" borderId="1" xfId="1" applyFont="1" applyBorder="1" applyAlignment="1">
      <alignment horizontal="center" vertical="center"/>
    </xf>
    <xf numFmtId="165" fontId="6" fillId="0" borderId="1" xfId="1" applyFont="1" applyBorder="1" applyAlignment="1">
      <alignment vertical="center"/>
    </xf>
    <xf numFmtId="0" fontId="6" fillId="0" borderId="6" xfId="0" applyFont="1" applyBorder="1" applyAlignment="1">
      <alignment horizontal="center" vertical="top" wrapText="1"/>
    </xf>
    <xf numFmtId="166" fontId="6" fillId="0" borderId="2" xfId="1" applyNumberFormat="1" applyFont="1" applyBorder="1" applyAlignment="1">
      <alignment vertical="center"/>
    </xf>
    <xf numFmtId="164" fontId="2" fillId="0" borderId="0" xfId="2" applyFont="1" applyAlignment="1">
      <alignment vertical="center"/>
    </xf>
    <xf numFmtId="164" fontId="3" fillId="0" borderId="0" xfId="2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164" fontId="8" fillId="0" borderId="0" xfId="2" applyFont="1" applyAlignment="1">
      <alignment horizontal="center" vertical="center"/>
    </xf>
    <xf numFmtId="0" fontId="10" fillId="0" borderId="0" xfId="0" applyFont="1"/>
    <xf numFmtId="0" fontId="1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165" fontId="12" fillId="0" borderId="1" xfId="1" applyFont="1" applyBorder="1" applyAlignment="1">
      <alignment horizontal="center" vertical="center"/>
    </xf>
    <xf numFmtId="165" fontId="12" fillId="0" borderId="1" xfId="1" applyFont="1" applyBorder="1" applyAlignment="1">
      <alignment vertical="center"/>
    </xf>
    <xf numFmtId="164" fontId="10" fillId="0" borderId="0" xfId="2" applyFont="1" applyAlignment="1">
      <alignment vertical="center"/>
    </xf>
    <xf numFmtId="165" fontId="10" fillId="0" borderId="0" xfId="1" applyFont="1" applyAlignment="1">
      <alignment vertical="center" wrapText="1"/>
    </xf>
    <xf numFmtId="165" fontId="10" fillId="0" borderId="0" xfId="1" applyFont="1" applyAlignment="1">
      <alignment vertical="center"/>
    </xf>
    <xf numFmtId="164" fontId="10" fillId="0" borderId="0" xfId="0" applyNumberFormat="1" applyFont="1" applyAlignment="1">
      <alignment vertical="center"/>
    </xf>
    <xf numFmtId="165" fontId="12" fillId="0" borderId="1" xfId="1" applyFont="1" applyBorder="1" applyAlignment="1">
      <alignment horizontal="center" vertical="center" wrapText="1"/>
    </xf>
    <xf numFmtId="166" fontId="12" fillId="0" borderId="2" xfId="1" applyNumberFormat="1" applyFont="1" applyBorder="1" applyAlignment="1">
      <alignment vertical="center"/>
    </xf>
    <xf numFmtId="0" fontId="12" fillId="0" borderId="6" xfId="0" applyFont="1" applyBorder="1" applyAlignment="1">
      <alignment horizontal="center" vertical="top" wrapText="1"/>
    </xf>
    <xf numFmtId="167" fontId="8" fillId="0" borderId="1" xfId="0" applyNumberFormat="1" applyFont="1" applyBorder="1" applyAlignment="1">
      <alignment horizontal="center" vertical="center" wrapText="1"/>
    </xf>
    <xf numFmtId="167" fontId="12" fillId="0" borderId="1" xfId="1" applyNumberFormat="1" applyFont="1" applyBorder="1" applyAlignment="1">
      <alignment horizontal="center" vertical="center"/>
    </xf>
    <xf numFmtId="167" fontId="12" fillId="0" borderId="1" xfId="1" applyNumberFormat="1" applyFont="1" applyBorder="1" applyAlignment="1">
      <alignment vertical="center"/>
    </xf>
    <xf numFmtId="167" fontId="10" fillId="0" borderId="0" xfId="0" applyNumberFormat="1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165" fontId="17" fillId="0" borderId="0" xfId="1" applyFont="1" applyBorder="1" applyAlignment="1">
      <alignment vertical="center" wrapText="1"/>
    </xf>
    <xf numFmtId="168" fontId="17" fillId="0" borderId="0" xfId="0" applyNumberFormat="1" applyFont="1" applyAlignment="1">
      <alignment vertical="center"/>
    </xf>
    <xf numFmtId="164" fontId="17" fillId="0" borderId="0" xfId="2" applyFont="1" applyFill="1" applyAlignment="1">
      <alignment vertical="center"/>
    </xf>
    <xf numFmtId="166" fontId="16" fillId="0" borderId="0" xfId="1" applyNumberFormat="1" applyFont="1" applyBorder="1" applyAlignment="1">
      <alignment vertical="center"/>
    </xf>
    <xf numFmtId="0" fontId="17" fillId="0" borderId="0" xfId="0" applyFont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center" vertical="center" wrapText="1"/>
    </xf>
    <xf numFmtId="165" fontId="22" fillId="0" borderId="1" xfId="1" applyFont="1" applyBorder="1" applyAlignment="1">
      <alignment horizontal="center" vertical="center"/>
    </xf>
    <xf numFmtId="165" fontId="22" fillId="0" borderId="1" xfId="1" applyFont="1" applyBorder="1" applyAlignment="1">
      <alignment vertical="center"/>
    </xf>
    <xf numFmtId="166" fontId="22" fillId="0" borderId="2" xfId="1" applyNumberFormat="1" applyFont="1" applyBorder="1" applyAlignment="1">
      <alignment vertical="center"/>
    </xf>
    <xf numFmtId="0" fontId="22" fillId="0" borderId="6" xfId="0" applyFont="1" applyBorder="1" applyAlignment="1">
      <alignment horizontal="center" vertical="top" wrapText="1"/>
    </xf>
    <xf numFmtId="0" fontId="21" fillId="0" borderId="0" xfId="0" applyFont="1"/>
    <xf numFmtId="0" fontId="20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0" fontId="24" fillId="0" borderId="0" xfId="3"/>
    <xf numFmtId="0" fontId="20" fillId="0" borderId="1" xfId="0" applyFont="1" applyBorder="1" applyAlignment="1">
      <alignment vertical="center" wrapText="1"/>
    </xf>
    <xf numFmtId="0" fontId="25" fillId="0" borderId="1" xfId="3" applyFont="1" applyBorder="1" applyAlignment="1">
      <alignment horizontal="center"/>
    </xf>
    <xf numFmtId="169" fontId="20" fillId="0" borderId="1" xfId="1" applyNumberFormat="1" applyFont="1" applyBorder="1" applyAlignment="1">
      <alignment horizontal="center" vertical="center"/>
    </xf>
    <xf numFmtId="0" fontId="20" fillId="2" borderId="11" xfId="0" applyFont="1" applyFill="1" applyBorder="1" applyAlignment="1">
      <alignment vertical="center" wrapText="1"/>
    </xf>
    <xf numFmtId="0" fontId="20" fillId="2" borderId="11" xfId="0" applyFont="1" applyFill="1" applyBorder="1" applyAlignment="1">
      <alignment wrapText="1"/>
    </xf>
    <xf numFmtId="0" fontId="20" fillId="2" borderId="11" xfId="0" applyFont="1" applyFill="1" applyBorder="1" applyAlignment="1">
      <alignment horizontal="center" wrapText="1"/>
    </xf>
    <xf numFmtId="165" fontId="20" fillId="0" borderId="1" xfId="1" applyFont="1" applyBorder="1" applyAlignment="1">
      <alignment horizontal="center" vertical="center"/>
    </xf>
    <xf numFmtId="0" fontId="20" fillId="2" borderId="1" xfId="0" applyFont="1" applyFill="1" applyBorder="1" applyAlignment="1">
      <alignment vertical="center" wrapText="1"/>
    </xf>
    <xf numFmtId="0" fontId="21" fillId="0" borderId="1" xfId="0" applyFont="1" applyBorder="1"/>
    <xf numFmtId="0" fontId="20" fillId="0" borderId="1" xfId="0" applyFont="1" applyBorder="1" applyAlignment="1">
      <alignment vertical="center"/>
    </xf>
    <xf numFmtId="0" fontId="21" fillId="0" borderId="1" xfId="0" applyFont="1" applyBorder="1" applyAlignment="1">
      <alignment horizontal="center"/>
    </xf>
    <xf numFmtId="0" fontId="21" fillId="0" borderId="8" xfId="0" applyFont="1" applyBorder="1" applyAlignment="1">
      <alignment horizontal="center"/>
    </xf>
    <xf numFmtId="0" fontId="25" fillId="3" borderId="1" xfId="3" applyFont="1" applyFill="1" applyBorder="1" applyAlignment="1">
      <alignment horizontal="center"/>
    </xf>
    <xf numFmtId="0" fontId="21" fillId="3" borderId="0" xfId="0" applyFont="1" applyFill="1"/>
    <xf numFmtId="165" fontId="21" fillId="0" borderId="0" xfId="1" applyFont="1" applyAlignment="1">
      <alignment vertical="center"/>
    </xf>
    <xf numFmtId="171" fontId="15" fillId="0" borderId="0" xfId="0" applyNumberFormat="1" applyFont="1" applyAlignment="1">
      <alignment horizontal="center" vertical="center"/>
    </xf>
    <xf numFmtId="171" fontId="15" fillId="0" borderId="0" xfId="0" applyNumberFormat="1" applyFont="1" applyAlignment="1">
      <alignment horizontal="center" vertical="center" wrapText="1"/>
    </xf>
    <xf numFmtId="171" fontId="16" fillId="0" borderId="0" xfId="0" applyNumberFormat="1" applyFont="1" applyAlignment="1">
      <alignment horizontal="center" vertical="center"/>
    </xf>
    <xf numFmtId="171" fontId="2" fillId="0" borderId="0" xfId="0" applyNumberFormat="1" applyFont="1" applyAlignment="1">
      <alignment vertical="center"/>
    </xf>
    <xf numFmtId="171" fontId="17" fillId="0" borderId="0" xfId="1" applyNumberFormat="1" applyFont="1" applyBorder="1" applyAlignment="1">
      <alignment vertical="center" wrapText="1"/>
    </xf>
    <xf numFmtId="171" fontId="17" fillId="0" borderId="0" xfId="0" applyNumberFormat="1" applyFont="1" applyAlignment="1">
      <alignment vertical="center"/>
    </xf>
    <xf numFmtId="171" fontId="17" fillId="0" borderId="0" xfId="2" applyNumberFormat="1" applyFont="1" applyFill="1" applyAlignment="1">
      <alignment vertical="center"/>
    </xf>
    <xf numFmtId="171" fontId="16" fillId="0" borderId="0" xfId="1" applyNumberFormat="1" applyFont="1" applyBorder="1" applyAlignment="1">
      <alignment vertical="center"/>
    </xf>
    <xf numFmtId="171" fontId="17" fillId="0" borderId="0" xfId="0" applyNumberFormat="1" applyFont="1" applyAlignment="1">
      <alignment horizontal="center" vertical="center"/>
    </xf>
    <xf numFmtId="171" fontId="2" fillId="0" borderId="0" xfId="2" applyNumberFormat="1" applyFont="1" applyAlignment="1">
      <alignment vertical="center"/>
    </xf>
    <xf numFmtId="0" fontId="22" fillId="0" borderId="0" xfId="0" applyFont="1" applyAlignment="1">
      <alignment horizontal="left" vertical="top" wrapText="1"/>
    </xf>
    <xf numFmtId="165" fontId="22" fillId="0" borderId="1" xfId="1" applyFont="1" applyBorder="1" applyAlignment="1">
      <alignment vertical="center" wrapText="1"/>
    </xf>
    <xf numFmtId="166" fontId="22" fillId="0" borderId="0" xfId="1" applyNumberFormat="1" applyFont="1" applyBorder="1" applyAlignment="1">
      <alignment vertical="center" wrapText="1"/>
    </xf>
    <xf numFmtId="0" fontId="23" fillId="0" borderId="0" xfId="0" applyFont="1" applyAlignment="1">
      <alignment horizontal="left" vertical="center" wrapText="1"/>
    </xf>
    <xf numFmtId="0" fontId="21" fillId="0" borderId="0" xfId="0" applyFont="1" applyAlignment="1">
      <alignment wrapText="1"/>
    </xf>
    <xf numFmtId="0" fontId="2" fillId="0" borderId="0" xfId="0" applyFont="1" applyAlignment="1">
      <alignment wrapText="1"/>
    </xf>
    <xf numFmtId="164" fontId="22" fillId="0" borderId="0" xfId="2" applyFont="1" applyFill="1" applyAlignment="1">
      <alignment vertical="center"/>
    </xf>
    <xf numFmtId="0" fontId="18" fillId="0" borderId="9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5" fontId="2" fillId="0" borderId="0" xfId="1" applyFont="1" applyAlignment="1">
      <alignment vertical="center"/>
    </xf>
    <xf numFmtId="43" fontId="2" fillId="0" borderId="0" xfId="0" applyNumberFormat="1" applyFont="1" applyAlignment="1">
      <alignment vertical="center"/>
    </xf>
    <xf numFmtId="165" fontId="22" fillId="0" borderId="1" xfId="1" applyFont="1" applyFill="1" applyBorder="1" applyAlignment="1">
      <alignment horizontal="center" vertical="center"/>
    </xf>
    <xf numFmtId="165" fontId="22" fillId="0" borderId="1" xfId="1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7" fillId="0" borderId="0" xfId="0" applyFont="1"/>
    <xf numFmtId="0" fontId="27" fillId="0" borderId="0" xfId="0" applyFont="1" applyAlignment="1">
      <alignment vertical="center"/>
    </xf>
    <xf numFmtId="166" fontId="22" fillId="0" borderId="1" xfId="1" applyNumberFormat="1" applyFont="1" applyBorder="1" applyAlignment="1">
      <alignment vertical="center"/>
    </xf>
    <xf numFmtId="0" fontId="20" fillId="0" borderId="1" xfId="0" applyFont="1" applyBorder="1" applyAlignment="1">
      <alignment horizontal="left" vertical="center"/>
    </xf>
    <xf numFmtId="165" fontId="22" fillId="0" borderId="0" xfId="1" applyFont="1" applyBorder="1" applyAlignment="1">
      <alignment vertical="center" wrapText="1"/>
    </xf>
    <xf numFmtId="0" fontId="22" fillId="0" borderId="1" xfId="0" applyFont="1" applyBorder="1" applyAlignment="1">
      <alignment horizontal="center" vertical="top" wrapText="1"/>
    </xf>
    <xf numFmtId="0" fontId="28" fillId="2" borderId="1" xfId="0" applyFont="1" applyFill="1" applyBorder="1" applyAlignment="1">
      <alignment vertical="center" wrapText="1"/>
    </xf>
    <xf numFmtId="164" fontId="17" fillId="0" borderId="0" xfId="2" applyFont="1" applyFill="1" applyAlignment="1">
      <alignment vertical="center" wrapText="1"/>
    </xf>
    <xf numFmtId="0" fontId="21" fillId="0" borderId="0" xfId="0" applyFont="1" applyAlignment="1">
      <alignment vertical="center"/>
    </xf>
    <xf numFmtId="43" fontId="2" fillId="0" borderId="0" xfId="0" applyNumberFormat="1" applyFont="1"/>
    <xf numFmtId="0" fontId="26" fillId="0" borderId="1" xfId="4" applyNumberFormat="1" applyFont="1" applyBorder="1" applyAlignment="1">
      <alignment horizontal="center" vertical="center"/>
    </xf>
    <xf numFmtId="0" fontId="21" fillId="0" borderId="0" xfId="4" applyNumberFormat="1" applyFont="1"/>
    <xf numFmtId="165" fontId="21" fillId="0" borderId="0" xfId="1" applyFont="1" applyFill="1" applyBorder="1" applyAlignment="1">
      <alignment vertical="center"/>
    </xf>
    <xf numFmtId="165" fontId="21" fillId="0" borderId="0" xfId="1" applyFont="1" applyFill="1" applyBorder="1"/>
    <xf numFmtId="0" fontId="20" fillId="0" borderId="1" xfId="4" applyNumberFormat="1" applyFont="1" applyBorder="1" applyAlignment="1">
      <alignment horizontal="center" vertical="center"/>
    </xf>
    <xf numFmtId="0" fontId="22" fillId="0" borderId="1" xfId="4" applyNumberFormat="1" applyFont="1" applyBorder="1" applyAlignment="1">
      <alignment horizontal="left" vertical="center" wrapText="1"/>
    </xf>
    <xf numFmtId="0" fontId="22" fillId="0" borderId="1" xfId="4" applyNumberFormat="1" applyFont="1" applyBorder="1" applyAlignment="1">
      <alignment horizontal="center" vertical="center" wrapText="1"/>
    </xf>
    <xf numFmtId="173" fontId="20" fillId="0" borderId="1" xfId="4" applyNumberFormat="1" applyFont="1" applyBorder="1" applyAlignment="1">
      <alignment horizontal="center" vertical="center"/>
    </xf>
    <xf numFmtId="0" fontId="21" fillId="0" borderId="1" xfId="4" applyNumberFormat="1" applyFont="1" applyBorder="1" applyAlignment="1">
      <alignment vertical="center"/>
    </xf>
    <xf numFmtId="0" fontId="21" fillId="0" borderId="1" xfId="4" applyNumberFormat="1" applyFont="1" applyBorder="1" applyAlignment="1">
      <alignment vertical="center" wrapText="1"/>
    </xf>
    <xf numFmtId="173" fontId="22" fillId="0" borderId="1" xfId="1" applyNumberFormat="1" applyFont="1" applyBorder="1" applyAlignment="1">
      <alignment vertical="center"/>
    </xf>
    <xf numFmtId="0" fontId="21" fillId="0" borderId="0" xfId="4" applyNumberFormat="1" applyFont="1" applyAlignment="1">
      <alignment vertical="center"/>
    </xf>
    <xf numFmtId="0" fontId="21" fillId="0" borderId="0" xfId="1" applyNumberFormat="1" applyFont="1" applyAlignment="1">
      <alignment vertical="center"/>
    </xf>
    <xf numFmtId="165" fontId="21" fillId="0" borderId="0" xfId="1" applyFont="1"/>
    <xf numFmtId="0" fontId="22" fillId="0" borderId="1" xfId="4" applyNumberFormat="1" applyFont="1" applyBorder="1" applyAlignment="1">
      <alignment horizontal="center" vertical="top" wrapText="1"/>
    </xf>
    <xf numFmtId="172" fontId="30" fillId="0" borderId="0" xfId="4" applyFont="1"/>
    <xf numFmtId="0" fontId="22" fillId="0" borderId="6" xfId="4" applyNumberFormat="1" applyFont="1" applyBorder="1" applyAlignment="1">
      <alignment horizontal="center" vertical="top" wrapText="1"/>
    </xf>
    <xf numFmtId="165" fontId="21" fillId="0" borderId="0" xfId="1" quotePrefix="1" applyFont="1" applyFill="1" applyBorder="1" applyAlignment="1">
      <alignment vertical="center" wrapText="1"/>
    </xf>
    <xf numFmtId="171" fontId="21" fillId="0" borderId="0" xfId="1" applyNumberFormat="1" applyFont="1" applyFill="1" applyBorder="1" applyAlignment="1">
      <alignment vertical="center"/>
    </xf>
    <xf numFmtId="165" fontId="21" fillId="0" borderId="0" xfId="1" applyFont="1" applyFill="1" applyBorder="1" applyAlignment="1">
      <alignment horizontal="center" vertical="center"/>
    </xf>
    <xf numFmtId="171" fontId="21" fillId="0" borderId="0" xfId="1" quotePrefix="1" applyNumberFormat="1" applyFont="1" applyFill="1" applyBorder="1" applyAlignment="1">
      <alignment vertical="center" wrapText="1"/>
    </xf>
    <xf numFmtId="174" fontId="21" fillId="0" borderId="0" xfId="1" quotePrefix="1" applyNumberFormat="1" applyFont="1" applyFill="1" applyBorder="1" applyAlignment="1">
      <alignment vertical="center" wrapText="1"/>
    </xf>
    <xf numFmtId="175" fontId="20" fillId="0" borderId="1" xfId="4" applyNumberFormat="1" applyFont="1" applyBorder="1" applyAlignment="1">
      <alignment horizontal="center" vertical="center"/>
    </xf>
    <xf numFmtId="175" fontId="22" fillId="0" borderId="1" xfId="1" applyNumberFormat="1" applyFont="1" applyBorder="1" applyAlignment="1">
      <alignment vertical="center"/>
    </xf>
    <xf numFmtId="173" fontId="21" fillId="0" borderId="0" xfId="1" applyNumberFormat="1" applyFont="1" applyFill="1" applyBorder="1" applyAlignment="1">
      <alignment vertical="center"/>
    </xf>
    <xf numFmtId="171" fontId="21" fillId="0" borderId="0" xfId="1" applyNumberFormat="1" applyFont="1" applyFill="1" applyBorder="1"/>
    <xf numFmtId="171" fontId="21" fillId="0" borderId="0" xfId="1" applyNumberFormat="1" applyFont="1" applyFill="1" applyBorder="1" applyAlignment="1">
      <alignment horizontal="center" vertical="center"/>
    </xf>
    <xf numFmtId="171" fontId="21" fillId="0" borderId="0" xfId="4" applyNumberFormat="1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31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20" fillId="0" borderId="1" xfId="4" applyNumberFormat="1" applyFont="1" applyBorder="1" applyAlignment="1">
      <alignment horizontal="center" vertical="center" wrapText="1"/>
    </xf>
    <xf numFmtId="175" fontId="21" fillId="0" borderId="0" xfId="4" applyNumberFormat="1" applyFont="1"/>
    <xf numFmtId="175" fontId="21" fillId="0" borderId="0" xfId="1" applyNumberFormat="1" applyFont="1" applyAlignment="1">
      <alignment vertical="center"/>
    </xf>
    <xf numFmtId="176" fontId="21" fillId="0" borderId="0" xfId="1" applyNumberFormat="1" applyFont="1" applyFill="1" applyBorder="1" applyAlignment="1">
      <alignment horizontal="center" vertical="center"/>
    </xf>
    <xf numFmtId="173" fontId="21" fillId="0" borderId="0" xfId="1" applyNumberFormat="1" applyFont="1" applyFill="1" applyBorder="1" applyAlignment="1">
      <alignment horizontal="center" vertical="center"/>
    </xf>
    <xf numFmtId="0" fontId="26" fillId="0" borderId="0" xfId="4" applyNumberFormat="1" applyFont="1" applyAlignment="1">
      <alignment horizontal="center" vertical="center"/>
    </xf>
    <xf numFmtId="173" fontId="21" fillId="0" borderId="0" xfId="4" applyNumberFormat="1" applyFont="1" applyAlignment="1">
      <alignment vertical="center"/>
    </xf>
    <xf numFmtId="173" fontId="21" fillId="0" borderId="0" xfId="1" quotePrefix="1" applyNumberFormat="1" applyFont="1" applyFill="1" applyBorder="1" applyAlignment="1">
      <alignment vertical="center" wrapText="1"/>
    </xf>
    <xf numFmtId="0" fontId="20" fillId="4" borderId="1" xfId="4" applyNumberFormat="1" applyFont="1" applyFill="1" applyBorder="1" applyAlignment="1">
      <alignment horizontal="center" vertical="center"/>
    </xf>
    <xf numFmtId="175" fontId="20" fillId="3" borderId="1" xfId="4" applyNumberFormat="1" applyFont="1" applyFill="1" applyBorder="1" applyAlignment="1">
      <alignment horizontal="center" vertical="center"/>
    </xf>
    <xf numFmtId="171" fontId="21" fillId="3" borderId="0" xfId="1" quotePrefix="1" applyNumberFormat="1" applyFont="1" applyFill="1" applyBorder="1" applyAlignment="1">
      <alignment vertical="center" wrapText="1"/>
    </xf>
    <xf numFmtId="0" fontId="21" fillId="3" borderId="0" xfId="4" applyNumberFormat="1" applyFont="1" applyFill="1"/>
    <xf numFmtId="0" fontId="21" fillId="3" borderId="0" xfId="1" applyNumberFormat="1" applyFont="1" applyFill="1" applyAlignment="1">
      <alignment vertical="center"/>
    </xf>
    <xf numFmtId="165" fontId="21" fillId="3" borderId="0" xfId="1" applyFont="1" applyFill="1" applyAlignment="1">
      <alignment vertical="center"/>
    </xf>
    <xf numFmtId="173" fontId="21" fillId="3" borderId="0" xfId="1" quotePrefix="1" applyNumberFormat="1" applyFont="1" applyFill="1" applyBorder="1" applyAlignment="1">
      <alignment vertical="center" wrapText="1"/>
    </xf>
    <xf numFmtId="175" fontId="22" fillId="3" borderId="1" xfId="1" applyNumberFormat="1" applyFont="1" applyFill="1" applyBorder="1" applyAlignment="1">
      <alignment vertical="center"/>
    </xf>
    <xf numFmtId="173" fontId="21" fillId="3" borderId="0" xfId="1" applyNumberFormat="1" applyFont="1" applyFill="1" applyAlignment="1">
      <alignment vertical="center"/>
    </xf>
    <xf numFmtId="165" fontId="21" fillId="0" borderId="0" xfId="1" quotePrefix="1" applyFont="1"/>
    <xf numFmtId="173" fontId="21" fillId="0" borderId="0" xfId="4" applyNumberFormat="1" applyFont="1"/>
    <xf numFmtId="0" fontId="21" fillId="0" borderId="1" xfId="4" applyNumberFormat="1" applyFont="1" applyBorder="1" applyAlignment="1">
      <alignment horizontal="center" vertical="center"/>
    </xf>
    <xf numFmtId="174" fontId="21" fillId="0" borderId="0" xfId="1" applyNumberFormat="1" applyFont="1" applyFill="1" applyBorder="1" applyAlignment="1">
      <alignment vertical="center"/>
    </xf>
    <xf numFmtId="173" fontId="21" fillId="0" borderId="0" xfId="1" applyNumberFormat="1" applyFont="1" applyFill="1" applyBorder="1" applyAlignment="1">
      <alignment horizontal="center" vertical="center" wrapText="1"/>
    </xf>
    <xf numFmtId="165" fontId="26" fillId="0" borderId="0" xfId="1" applyFont="1" applyFill="1" applyBorder="1" applyAlignment="1">
      <alignment horizontal="center" vertical="center"/>
    </xf>
    <xf numFmtId="0" fontId="21" fillId="0" borderId="0" xfId="4" applyNumberFormat="1" applyFont="1" applyAlignment="1">
      <alignment horizontal="left" vertical="center" wrapText="1"/>
    </xf>
    <xf numFmtId="173" fontId="26" fillId="0" borderId="0" xfId="4" applyNumberFormat="1" applyFont="1" applyAlignment="1">
      <alignment horizontal="center" vertical="center"/>
    </xf>
    <xf numFmtId="171" fontId="26" fillId="0" borderId="0" xfId="4" applyNumberFormat="1" applyFont="1" applyAlignment="1">
      <alignment horizontal="center" vertical="center"/>
    </xf>
    <xf numFmtId="171" fontId="21" fillId="0" borderId="0" xfId="1" applyNumberFormat="1" applyFont="1" applyFill="1" applyBorder="1" applyAlignment="1">
      <alignment horizontal="left" vertical="center" wrapText="1"/>
    </xf>
    <xf numFmtId="165" fontId="21" fillId="0" borderId="0" xfId="1" applyFont="1" applyBorder="1" applyAlignment="1">
      <alignment vertical="center"/>
    </xf>
    <xf numFmtId="0" fontId="22" fillId="0" borderId="0" xfId="0" applyFont="1" applyAlignment="1">
      <alignment horizontal="center" vertical="center"/>
    </xf>
    <xf numFmtId="165" fontId="22" fillId="0" borderId="0" xfId="1" applyFont="1" applyBorder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22" fillId="0" borderId="1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6" fillId="0" borderId="0" xfId="0" applyFont="1" applyAlignment="1">
      <alignment vertical="center"/>
    </xf>
    <xf numFmtId="171" fontId="26" fillId="0" borderId="0" xfId="0" applyNumberFormat="1" applyFont="1" applyAlignment="1">
      <alignment vertical="center"/>
    </xf>
    <xf numFmtId="171" fontId="22" fillId="0" borderId="0" xfId="1" applyNumberFormat="1" applyFont="1" applyBorder="1" applyAlignment="1">
      <alignment horizontal="center" vertical="center"/>
    </xf>
    <xf numFmtId="171" fontId="33" fillId="0" borderId="0" xfId="0" applyNumberFormat="1" applyFont="1" applyAlignment="1">
      <alignment vertical="center" wrapText="1"/>
    </xf>
    <xf numFmtId="171" fontId="17" fillId="0" borderId="0" xfId="1" applyNumberFormat="1" applyFont="1" applyBorder="1" applyAlignment="1">
      <alignment horizontal="center" vertical="center"/>
    </xf>
    <xf numFmtId="175" fontId="20" fillId="0" borderId="1" xfId="1" applyNumberFormat="1" applyFont="1" applyBorder="1" applyAlignment="1">
      <alignment horizontal="center" vertical="center"/>
    </xf>
    <xf numFmtId="171" fontId="0" fillId="0" borderId="0" xfId="0" applyNumberFormat="1" applyAlignment="1">
      <alignment vertical="center"/>
    </xf>
    <xf numFmtId="175" fontId="20" fillId="0" borderId="1" xfId="0" applyNumberFormat="1" applyFont="1" applyBorder="1" applyAlignment="1">
      <alignment horizontal="center" vertical="center"/>
    </xf>
    <xf numFmtId="165" fontId="19" fillId="0" borderId="0" xfId="1" applyFont="1" applyBorder="1" applyAlignment="1">
      <alignment horizontal="center" vertical="center"/>
    </xf>
    <xf numFmtId="165" fontId="16" fillId="0" borderId="0" xfId="1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18" fillId="0" borderId="0" xfId="5" applyFont="1" applyAlignment="1">
      <alignment horizontal="center" vertical="center"/>
    </xf>
    <xf numFmtId="0" fontId="26" fillId="0" borderId="0" xfId="5" applyFont="1" applyAlignment="1">
      <alignment vertical="center"/>
    </xf>
    <xf numFmtId="0" fontId="20" fillId="0" borderId="1" xfId="5" applyFont="1" applyBorder="1" applyAlignment="1">
      <alignment horizontal="center" vertical="center"/>
    </xf>
    <xf numFmtId="0" fontId="20" fillId="0" borderId="1" xfId="5" applyFont="1" applyBorder="1" applyAlignment="1">
      <alignment horizontal="left" vertical="center" wrapText="1"/>
    </xf>
    <xf numFmtId="175" fontId="20" fillId="0" borderId="1" xfId="5" applyNumberFormat="1" applyFont="1" applyBorder="1" applyAlignment="1">
      <alignment horizontal="center" vertical="center"/>
    </xf>
    <xf numFmtId="164" fontId="20" fillId="0" borderId="0" xfId="2" applyFont="1" applyBorder="1" applyAlignment="1">
      <alignment horizontal="center" vertical="center"/>
    </xf>
    <xf numFmtId="171" fontId="1" fillId="0" borderId="0" xfId="5" applyNumberFormat="1" applyAlignment="1">
      <alignment vertical="center"/>
    </xf>
    <xf numFmtId="171" fontId="26" fillId="0" borderId="0" xfId="5" applyNumberFormat="1" applyFont="1" applyAlignment="1">
      <alignment vertical="center"/>
    </xf>
    <xf numFmtId="0" fontId="20" fillId="0" borderId="1" xfId="5" applyFont="1" applyBorder="1" applyAlignment="1">
      <alignment vertical="center"/>
    </xf>
    <xf numFmtId="175" fontId="20" fillId="0" borderId="0" xfId="1" applyNumberFormat="1" applyFont="1" applyBorder="1" applyAlignment="1">
      <alignment horizontal="center" vertical="center"/>
    </xf>
    <xf numFmtId="171" fontId="33" fillId="0" borderId="0" xfId="5" applyNumberFormat="1" applyFont="1" applyAlignment="1">
      <alignment vertical="center" wrapText="1"/>
    </xf>
    <xf numFmtId="175" fontId="22" fillId="0" borderId="0" xfId="1" applyNumberFormat="1" applyFont="1" applyBorder="1" applyAlignment="1">
      <alignment vertical="center"/>
    </xf>
    <xf numFmtId="0" fontId="21" fillId="0" borderId="0" xfId="5" applyFont="1" applyAlignment="1">
      <alignment vertical="center"/>
    </xf>
    <xf numFmtId="0" fontId="23" fillId="0" borderId="0" xfId="5" applyFont="1" applyAlignment="1">
      <alignment horizontal="center" vertical="center"/>
    </xf>
    <xf numFmtId="0" fontId="22" fillId="0" borderId="0" xfId="5" applyFont="1" applyAlignment="1">
      <alignment horizontal="center" vertical="center"/>
    </xf>
    <xf numFmtId="0" fontId="22" fillId="0" borderId="1" xfId="5" applyFont="1" applyBorder="1" applyAlignment="1">
      <alignment horizontal="center" vertical="center" wrapText="1"/>
    </xf>
    <xf numFmtId="0" fontId="22" fillId="0" borderId="0" xfId="5" applyFont="1" applyAlignment="1">
      <alignment horizontal="left" vertical="center" wrapText="1"/>
    </xf>
    <xf numFmtId="0" fontId="22" fillId="0" borderId="0" xfId="5" applyFont="1" applyAlignment="1">
      <alignment horizontal="left" vertical="center"/>
    </xf>
    <xf numFmtId="0" fontId="21" fillId="0" borderId="0" xfId="5" applyFont="1" applyAlignment="1">
      <alignment horizontal="center" vertical="center"/>
    </xf>
    <xf numFmtId="171" fontId="21" fillId="0" borderId="0" xfId="4" applyNumberFormat="1" applyFont="1" applyAlignment="1">
      <alignment horizontal="center" vertical="center"/>
    </xf>
    <xf numFmtId="173" fontId="26" fillId="0" borderId="1" xfId="4" applyNumberFormat="1" applyFont="1" applyBorder="1" applyAlignment="1">
      <alignment horizontal="center" vertical="center"/>
    </xf>
    <xf numFmtId="0" fontId="21" fillId="0" borderId="0" xfId="4" applyNumberFormat="1" applyFont="1" applyAlignment="1">
      <alignment horizontal="center" vertical="center"/>
    </xf>
    <xf numFmtId="171" fontId="0" fillId="0" borderId="0" xfId="5" applyNumberFormat="1" applyFont="1" applyAlignment="1">
      <alignment vertical="center"/>
    </xf>
    <xf numFmtId="171" fontId="19" fillId="0" borderId="0" xfId="1" applyNumberFormat="1" applyFont="1" applyBorder="1" applyAlignment="1">
      <alignment horizontal="center" vertical="center"/>
    </xf>
    <xf numFmtId="171" fontId="0" fillId="0" borderId="0" xfId="5" applyNumberFormat="1" applyFont="1" applyAlignment="1">
      <alignment vertical="center" wrapText="1"/>
    </xf>
    <xf numFmtId="0" fontId="34" fillId="0" borderId="1" xfId="0" applyFont="1" applyBorder="1" applyAlignment="1">
      <alignment vertical="center" wrapText="1"/>
    </xf>
    <xf numFmtId="165" fontId="21" fillId="0" borderId="1" xfId="1" applyFont="1" applyFill="1" applyBorder="1" applyAlignment="1">
      <alignment horizontal="center" vertical="center"/>
    </xf>
    <xf numFmtId="165" fontId="21" fillId="0" borderId="0" xfId="1" applyFont="1" applyAlignment="1">
      <alignment horizontal="center"/>
    </xf>
    <xf numFmtId="0" fontId="21" fillId="0" borderId="0" xfId="4" applyNumberFormat="1" applyFont="1" applyAlignment="1">
      <alignment horizontal="center"/>
    </xf>
    <xf numFmtId="0" fontId="21" fillId="0" borderId="0" xfId="4" applyNumberFormat="1" applyFont="1" applyAlignment="1">
      <alignment wrapText="1"/>
    </xf>
    <xf numFmtId="0" fontId="26" fillId="3" borderId="1" xfId="4" applyNumberFormat="1" applyFont="1" applyFill="1" applyBorder="1" applyAlignment="1">
      <alignment horizontal="center" vertical="center"/>
    </xf>
    <xf numFmtId="171" fontId="21" fillId="0" borderId="1" xfId="1" applyNumberFormat="1" applyFont="1" applyFill="1" applyBorder="1" applyAlignment="1">
      <alignment horizontal="center" vertical="center"/>
    </xf>
    <xf numFmtId="0" fontId="26" fillId="0" borderId="6" xfId="4" applyNumberFormat="1" applyFont="1" applyBorder="1" applyAlignment="1">
      <alignment horizontal="center" vertical="center"/>
    </xf>
    <xf numFmtId="175" fontId="22" fillId="0" borderId="6" xfId="1" applyNumberFormat="1" applyFont="1" applyBorder="1" applyAlignment="1">
      <alignment vertical="center"/>
    </xf>
    <xf numFmtId="171" fontId="21" fillId="0" borderId="1" xfId="1" quotePrefix="1" applyNumberFormat="1" applyFont="1" applyFill="1" applyBorder="1" applyAlignment="1">
      <alignment horizontal="center" vertical="center" wrapText="1"/>
    </xf>
    <xf numFmtId="171" fontId="21" fillId="0" borderId="1" xfId="4" applyNumberFormat="1" applyFont="1" applyBorder="1" applyAlignment="1">
      <alignment horizontal="center" vertical="center"/>
    </xf>
    <xf numFmtId="165" fontId="21" fillId="0" borderId="1" xfId="1" applyFont="1" applyBorder="1" applyAlignment="1">
      <alignment horizontal="center"/>
    </xf>
    <xf numFmtId="171" fontId="21" fillId="0" borderId="1" xfId="1" applyNumberFormat="1" applyFont="1" applyBorder="1" applyAlignment="1">
      <alignment horizontal="center"/>
    </xf>
    <xf numFmtId="0" fontId="22" fillId="0" borderId="1" xfId="4" applyNumberFormat="1" applyFont="1" applyBorder="1" applyAlignment="1">
      <alignment horizontal="left" vertical="top" wrapText="1"/>
    </xf>
    <xf numFmtId="173" fontId="21" fillId="0" borderId="1" xfId="1" quotePrefix="1" applyNumberFormat="1" applyFont="1" applyFill="1" applyBorder="1" applyAlignment="1">
      <alignment horizontal="center" vertical="center" wrapText="1"/>
    </xf>
    <xf numFmtId="173" fontId="21" fillId="0" borderId="1" xfId="1" applyNumberFormat="1" applyFont="1" applyFill="1" applyBorder="1" applyAlignment="1">
      <alignment horizontal="center" vertical="center"/>
    </xf>
    <xf numFmtId="0" fontId="36" fillId="0" borderId="1" xfId="0" applyFont="1" applyBorder="1" applyAlignment="1">
      <alignment horizontal="center" vertical="center"/>
    </xf>
    <xf numFmtId="165" fontId="21" fillId="0" borderId="1" xfId="1" applyFont="1" applyFill="1" applyBorder="1" applyAlignment="1">
      <alignment horizontal="center" vertical="center" wrapText="1"/>
    </xf>
    <xf numFmtId="0" fontId="21" fillId="0" borderId="1" xfId="1" applyNumberFormat="1" applyFont="1" applyBorder="1" applyAlignment="1">
      <alignment horizontal="center" vertical="center"/>
    </xf>
    <xf numFmtId="165" fontId="21" fillId="0" borderId="1" xfId="1" applyFont="1" applyBorder="1" applyAlignment="1">
      <alignment horizontal="center" vertical="center"/>
    </xf>
    <xf numFmtId="0" fontId="21" fillId="0" borderId="1" xfId="4" applyNumberFormat="1" applyFont="1" applyBorder="1" applyAlignment="1">
      <alignment horizontal="left" vertical="center" wrapText="1"/>
    </xf>
    <xf numFmtId="0" fontId="39" fillId="0" borderId="1" xfId="6" applyFont="1" applyBorder="1" applyAlignment="1" applyProtection="1">
      <alignment horizontal="center" vertical="center"/>
    </xf>
    <xf numFmtId="171" fontId="21" fillId="0" borderId="0" xfId="4" applyNumberFormat="1" applyFont="1" applyAlignment="1">
      <alignment vertical="center" wrapText="1"/>
    </xf>
    <xf numFmtId="0" fontId="26" fillId="0" borderId="8" xfId="4" applyNumberFormat="1" applyFont="1" applyBorder="1" applyAlignment="1">
      <alignment horizontal="center" vertical="center"/>
    </xf>
    <xf numFmtId="164" fontId="21" fillId="0" borderId="0" xfId="2" quotePrefix="1" applyFont="1" applyFill="1" applyBorder="1" applyAlignment="1">
      <alignment vertical="center" wrapText="1"/>
    </xf>
    <xf numFmtId="171" fontId="21" fillId="0" borderId="0" xfId="1" applyNumberFormat="1" applyFont="1" applyFill="1" applyBorder="1" applyAlignment="1">
      <alignment horizontal="center" vertical="center" wrapText="1"/>
    </xf>
    <xf numFmtId="165" fontId="21" fillId="3" borderId="0" xfId="1" applyFont="1" applyFill="1" applyAlignment="1">
      <alignment horizontal="center" vertical="center"/>
    </xf>
    <xf numFmtId="165" fontId="26" fillId="3" borderId="0" xfId="1" applyFont="1" applyFill="1" applyBorder="1" applyAlignment="1">
      <alignment vertical="center"/>
    </xf>
    <xf numFmtId="0" fontId="35" fillId="0" borderId="0" xfId="0" applyFont="1" applyAlignment="1">
      <alignment vertical="center"/>
    </xf>
    <xf numFmtId="173" fontId="21" fillId="0" borderId="1" xfId="4" applyNumberFormat="1" applyFont="1" applyBorder="1" applyAlignment="1">
      <alignment horizontal="center" vertical="center"/>
    </xf>
    <xf numFmtId="173" fontId="26" fillId="3" borderId="1" xfId="4" applyNumberFormat="1" applyFont="1" applyFill="1" applyBorder="1" applyAlignment="1">
      <alignment horizontal="center" vertical="center"/>
    </xf>
    <xf numFmtId="173" fontId="21" fillId="0" borderId="1" xfId="1" applyNumberFormat="1" applyFont="1" applyBorder="1" applyAlignment="1">
      <alignment horizontal="center" vertical="center"/>
    </xf>
    <xf numFmtId="175" fontId="21" fillId="0" borderId="1" xfId="1" applyNumberFormat="1" applyFont="1" applyFill="1" applyBorder="1" applyAlignment="1">
      <alignment horizontal="center" vertical="center" wrapText="1"/>
    </xf>
    <xf numFmtId="175" fontId="21" fillId="0" borderId="1" xfId="4" applyNumberFormat="1" applyFont="1" applyBorder="1" applyAlignment="1">
      <alignment horizontal="center" vertical="center"/>
    </xf>
    <xf numFmtId="173" fontId="21" fillId="0" borderId="6" xfId="4" applyNumberFormat="1" applyFont="1" applyBorder="1" applyAlignment="1">
      <alignment horizontal="center" vertical="center"/>
    </xf>
    <xf numFmtId="165" fontId="26" fillId="3" borderId="1" xfId="1" applyFont="1" applyFill="1" applyBorder="1" applyAlignment="1">
      <alignment horizontal="center" vertical="center"/>
    </xf>
    <xf numFmtId="0" fontId="26" fillId="3" borderId="1" xfId="4" applyNumberFormat="1" applyFont="1" applyFill="1" applyBorder="1" applyAlignment="1">
      <alignment vertical="center"/>
    </xf>
    <xf numFmtId="173" fontId="21" fillId="0" borderId="1" xfId="1" quotePrefix="1" applyNumberFormat="1" applyFont="1" applyFill="1" applyBorder="1" applyAlignment="1">
      <alignment vertical="center" wrapText="1"/>
    </xf>
    <xf numFmtId="165" fontId="21" fillId="0" borderId="1" xfId="1" applyFont="1" applyBorder="1"/>
    <xf numFmtId="177" fontId="41" fillId="0" borderId="1" xfId="0" applyNumberFormat="1" applyFont="1" applyBorder="1" applyAlignment="1">
      <alignment horizontal="center" vertical="center" wrapText="1"/>
    </xf>
    <xf numFmtId="175" fontId="21" fillId="0" borderId="6" xfId="4" applyNumberFormat="1" applyFont="1" applyBorder="1" applyAlignment="1">
      <alignment horizontal="center" vertical="center"/>
    </xf>
    <xf numFmtId="173" fontId="21" fillId="0" borderId="0" xfId="1" applyNumberFormat="1" applyFont="1" applyAlignment="1">
      <alignment vertical="center"/>
    </xf>
    <xf numFmtId="0" fontId="26" fillId="0" borderId="0" xfId="4" applyNumberFormat="1" applyFont="1" applyAlignment="1">
      <alignment wrapText="1"/>
    </xf>
    <xf numFmtId="0" fontId="26" fillId="3" borderId="0" xfId="4" applyNumberFormat="1" applyFont="1" applyFill="1"/>
    <xf numFmtId="165" fontId="26" fillId="3" borderId="1" xfId="1" applyFont="1" applyFill="1" applyBorder="1" applyAlignment="1">
      <alignment horizontal="left" vertical="center" wrapText="1"/>
    </xf>
    <xf numFmtId="9" fontId="21" fillId="0" borderId="0" xfId="7" applyFont="1"/>
    <xf numFmtId="1" fontId="21" fillId="0" borderId="0" xfId="4" applyNumberFormat="1" applyFont="1"/>
    <xf numFmtId="0" fontId="42" fillId="0" borderId="1" xfId="4" applyNumberFormat="1" applyFont="1" applyBorder="1" applyAlignment="1">
      <alignment horizontal="center" vertical="center"/>
    </xf>
    <xf numFmtId="0" fontId="42" fillId="3" borderId="1" xfId="4" applyNumberFormat="1" applyFont="1" applyFill="1" applyBorder="1" applyAlignment="1">
      <alignment horizontal="center" vertical="center"/>
    </xf>
    <xf numFmtId="174" fontId="42" fillId="3" borderId="1" xfId="4" applyNumberFormat="1" applyFont="1" applyFill="1" applyBorder="1" applyAlignment="1">
      <alignment horizontal="center" vertical="center" wrapText="1"/>
    </xf>
    <xf numFmtId="175" fontId="42" fillId="3" borderId="1" xfId="4" applyNumberFormat="1" applyFont="1" applyFill="1" applyBorder="1" applyAlignment="1">
      <alignment horizontal="center" vertical="center"/>
    </xf>
    <xf numFmtId="0" fontId="42" fillId="3" borderId="1" xfId="1" applyNumberFormat="1" applyFont="1" applyFill="1" applyBorder="1" applyAlignment="1">
      <alignment horizontal="center" vertical="center"/>
    </xf>
    <xf numFmtId="0" fontId="43" fillId="0" borderId="0" xfId="4" applyNumberFormat="1" applyFont="1"/>
    <xf numFmtId="179" fontId="43" fillId="0" borderId="1" xfId="4" applyNumberFormat="1" applyFont="1" applyBorder="1"/>
    <xf numFmtId="178" fontId="43" fillId="0" borderId="1" xfId="0" applyNumberFormat="1" applyFont="1" applyBorder="1" applyAlignment="1">
      <alignment horizontal="center" vertical="center"/>
    </xf>
    <xf numFmtId="174" fontId="43" fillId="0" borderId="1" xfId="4" applyNumberFormat="1" applyFont="1" applyBorder="1" applyAlignment="1">
      <alignment horizontal="center" vertical="center"/>
    </xf>
    <xf numFmtId="175" fontId="43" fillId="0" borderId="1" xfId="4" applyNumberFormat="1" applyFont="1" applyBorder="1" applyAlignment="1">
      <alignment horizontal="center" vertical="center"/>
    </xf>
    <xf numFmtId="0" fontId="43" fillId="0" borderId="1" xfId="1" applyNumberFormat="1" applyFont="1" applyBorder="1" applyAlignment="1">
      <alignment horizontal="center" vertical="center"/>
    </xf>
    <xf numFmtId="15" fontId="43" fillId="0" borderId="1" xfId="4" applyNumberFormat="1" applyFont="1" applyBorder="1" applyAlignment="1">
      <alignment horizontal="center" vertical="center"/>
    </xf>
    <xf numFmtId="0" fontId="43" fillId="0" borderId="1" xfId="4" applyNumberFormat="1" applyFont="1" applyBorder="1"/>
    <xf numFmtId="0" fontId="43" fillId="0" borderId="1" xfId="4" applyNumberFormat="1" applyFont="1" applyBorder="1" applyAlignment="1">
      <alignment horizontal="center" vertical="center"/>
    </xf>
    <xf numFmtId="164" fontId="43" fillId="0" borderId="1" xfId="2" applyFont="1" applyFill="1" applyBorder="1" applyAlignment="1">
      <alignment horizontal="center" vertical="center"/>
    </xf>
    <xf numFmtId="174" fontId="43" fillId="0" borderId="0" xfId="4" applyNumberFormat="1" applyFont="1"/>
    <xf numFmtId="0" fontId="43" fillId="0" borderId="0" xfId="4" applyNumberFormat="1" applyFont="1" applyAlignment="1">
      <alignment horizontal="center"/>
    </xf>
    <xf numFmtId="0" fontId="44" fillId="2" borderId="13" xfId="0" applyFont="1" applyFill="1" applyBorder="1" applyAlignment="1">
      <alignment vertical="center"/>
    </xf>
    <xf numFmtId="0" fontId="44" fillId="2" borderId="14" xfId="0" applyFont="1" applyFill="1" applyBorder="1" applyAlignment="1">
      <alignment vertical="center"/>
    </xf>
    <xf numFmtId="0" fontId="44" fillId="2" borderId="17" xfId="0" applyFont="1" applyFill="1" applyBorder="1" applyAlignment="1">
      <alignment vertical="center"/>
    </xf>
    <xf numFmtId="0" fontId="44" fillId="2" borderId="1" xfId="0" applyFont="1" applyFill="1" applyBorder="1" applyAlignment="1">
      <alignment horizontal="center" vertical="center"/>
    </xf>
    <xf numFmtId="0" fontId="44" fillId="2" borderId="13" xfId="0" applyFont="1" applyFill="1" applyBorder="1" applyAlignment="1">
      <alignment horizontal="center" vertical="center"/>
    </xf>
    <xf numFmtId="0" fontId="45" fillId="2" borderId="15" xfId="0" applyFont="1" applyFill="1" applyBorder="1" applyAlignment="1">
      <alignment vertical="center"/>
    </xf>
    <xf numFmtId="0" fontId="45" fillId="2" borderId="16" xfId="0" applyFont="1" applyFill="1" applyBorder="1" applyAlignment="1">
      <alignment vertical="center"/>
    </xf>
    <xf numFmtId="0" fontId="45" fillId="2" borderId="18" xfId="0" applyFont="1" applyFill="1" applyBorder="1" applyAlignment="1">
      <alignment vertical="center" wrapText="1"/>
    </xf>
    <xf numFmtId="0" fontId="45" fillId="2" borderId="1" xfId="0" applyFont="1" applyFill="1" applyBorder="1" applyAlignment="1">
      <alignment horizontal="center" vertical="center"/>
    </xf>
    <xf numFmtId="179" fontId="45" fillId="2" borderId="1" xfId="0" applyNumberFormat="1" applyFont="1" applyFill="1" applyBorder="1" applyAlignment="1">
      <alignment horizontal="center" vertical="center"/>
    </xf>
    <xf numFmtId="0" fontId="45" fillId="2" borderId="0" xfId="0" applyFont="1" applyFill="1" applyAlignment="1">
      <alignment vertical="center" wrapText="1"/>
    </xf>
    <xf numFmtId="0" fontId="45" fillId="2" borderId="9" xfId="0" applyFont="1" applyFill="1" applyBorder="1" applyAlignment="1">
      <alignment horizontal="center" vertical="center"/>
    </xf>
    <xf numFmtId="179" fontId="43" fillId="0" borderId="9" xfId="4" applyNumberFormat="1" applyFont="1" applyBorder="1"/>
    <xf numFmtId="179" fontId="45" fillId="2" borderId="9" xfId="0" applyNumberFormat="1" applyFont="1" applyFill="1" applyBorder="1" applyAlignment="1">
      <alignment horizontal="center" vertical="center"/>
    </xf>
    <xf numFmtId="0" fontId="42" fillId="0" borderId="1" xfId="4" applyNumberFormat="1" applyFont="1" applyBorder="1"/>
    <xf numFmtId="0" fontId="42" fillId="0" borderId="1" xfId="4" applyNumberFormat="1" applyFont="1" applyBorder="1" applyAlignment="1">
      <alignment horizontal="center"/>
    </xf>
    <xf numFmtId="179" fontId="42" fillId="0" borderId="1" xfId="4" applyNumberFormat="1" applyFont="1" applyBorder="1" applyAlignment="1">
      <alignment horizontal="center"/>
    </xf>
    <xf numFmtId="175" fontId="42" fillId="0" borderId="1" xfId="4" applyNumberFormat="1" applyFont="1" applyBorder="1" applyAlignment="1">
      <alignment horizontal="center"/>
    </xf>
    <xf numFmtId="0" fontId="46" fillId="0" borderId="0" xfId="0" applyFont="1" applyAlignment="1">
      <alignment vertical="center"/>
    </xf>
    <xf numFmtId="0" fontId="20" fillId="0" borderId="1" xfId="4" applyNumberFormat="1" applyFont="1" applyBorder="1" applyAlignment="1">
      <alignment horizontal="center" vertical="center"/>
    </xf>
    <xf numFmtId="175" fontId="22" fillId="0" borderId="2" xfId="1" applyNumberFormat="1" applyFont="1" applyBorder="1" applyAlignment="1">
      <alignment vertical="center"/>
    </xf>
    <xf numFmtId="165" fontId="26" fillId="3" borderId="1" xfId="1" applyFont="1" applyFill="1" applyBorder="1" applyAlignment="1">
      <alignment vertical="center"/>
    </xf>
    <xf numFmtId="165" fontId="21" fillId="3" borderId="1" xfId="1" applyFont="1" applyFill="1" applyBorder="1" applyAlignment="1">
      <alignment horizontal="center" vertical="center"/>
    </xf>
    <xf numFmtId="171" fontId="21" fillId="0" borderId="1" xfId="1" applyNumberFormat="1" applyFont="1" applyFill="1" applyBorder="1" applyAlignment="1">
      <alignment vertical="center"/>
    </xf>
    <xf numFmtId="0" fontId="34" fillId="0" borderId="1" xfId="0" applyFont="1" applyBorder="1" applyAlignment="1">
      <alignment horizontal="left" vertical="center" wrapText="1"/>
    </xf>
    <xf numFmtId="0" fontId="20" fillId="0" borderId="1" xfId="4" applyNumberFormat="1" applyFont="1" applyBorder="1" applyAlignment="1">
      <alignment horizontal="center" vertical="center"/>
    </xf>
    <xf numFmtId="0" fontId="26" fillId="0" borderId="0" xfId="4" applyNumberFormat="1" applyFont="1"/>
    <xf numFmtId="0" fontId="20" fillId="0" borderId="2" xfId="4" applyNumberFormat="1" applyFont="1" applyBorder="1" applyAlignment="1">
      <alignment horizontal="center" vertical="center"/>
    </xf>
    <xf numFmtId="165" fontId="21" fillId="0" borderId="2" xfId="1" applyFont="1" applyBorder="1"/>
    <xf numFmtId="175" fontId="19" fillId="0" borderId="2" xfId="1" applyNumberFormat="1" applyFont="1" applyBorder="1" applyAlignment="1">
      <alignment vertical="center"/>
    </xf>
    <xf numFmtId="175" fontId="19" fillId="0" borderId="1" xfId="1" applyNumberFormat="1" applyFont="1" applyBorder="1" applyAlignment="1">
      <alignment vertical="center"/>
    </xf>
    <xf numFmtId="174" fontId="21" fillId="0" borderId="1" xfId="1" applyNumberFormat="1" applyFont="1" applyFill="1" applyBorder="1" applyAlignment="1">
      <alignment horizontal="center" vertical="center"/>
    </xf>
    <xf numFmtId="174" fontId="26" fillId="0" borderId="1" xfId="4" applyNumberFormat="1" applyFont="1" applyBorder="1" applyAlignment="1">
      <alignment horizontal="center" vertical="center"/>
    </xf>
    <xf numFmtId="174" fontId="21" fillId="0" borderId="1" xfId="4" applyNumberFormat="1" applyFont="1" applyBorder="1" applyAlignment="1">
      <alignment horizontal="center" vertical="center"/>
    </xf>
    <xf numFmtId="165" fontId="26" fillId="3" borderId="1" xfId="1" applyFont="1" applyFill="1" applyBorder="1" applyAlignment="1">
      <alignment horizontal="center" vertical="center" wrapText="1"/>
    </xf>
    <xf numFmtId="0" fontId="40" fillId="0" borderId="1" xfId="0" applyFont="1" applyBorder="1" applyAlignment="1">
      <alignment vertical="center" wrapText="1"/>
    </xf>
    <xf numFmtId="171" fontId="21" fillId="0" borderId="0" xfId="1" applyNumberFormat="1" applyFont="1" applyAlignment="1">
      <alignment vertical="center"/>
    </xf>
    <xf numFmtId="175" fontId="21" fillId="0" borderId="1" xfId="1" applyNumberFormat="1" applyFont="1" applyBorder="1" applyAlignment="1">
      <alignment horizontal="center" vertical="center"/>
    </xf>
    <xf numFmtId="0" fontId="12" fillId="0" borderId="7" xfId="0" applyFont="1" applyBorder="1" applyAlignment="1">
      <alignment horizontal="left" vertical="top" wrapText="1"/>
    </xf>
    <xf numFmtId="0" fontId="12" fillId="0" borderId="8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167" fontId="12" fillId="0" borderId="9" xfId="1" applyNumberFormat="1" applyFont="1" applyBorder="1" applyAlignment="1">
      <alignment horizontal="center" vertical="center" wrapText="1"/>
    </xf>
    <xf numFmtId="167" fontId="12" fillId="0" borderId="10" xfId="1" applyNumberFormat="1" applyFont="1" applyBorder="1" applyAlignment="1">
      <alignment horizontal="center" vertical="center" wrapText="1"/>
    </xf>
    <xf numFmtId="167" fontId="12" fillId="0" borderId="2" xfId="1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22" fillId="0" borderId="7" xfId="0" applyFont="1" applyBorder="1" applyAlignment="1">
      <alignment horizontal="left" vertical="top" wrapText="1"/>
    </xf>
    <xf numFmtId="0" fontId="22" fillId="0" borderId="8" xfId="0" applyFont="1" applyBorder="1" applyAlignment="1">
      <alignment horizontal="left" vertical="top" wrapText="1"/>
    </xf>
    <xf numFmtId="0" fontId="20" fillId="0" borderId="2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/>
    </xf>
    <xf numFmtId="170" fontId="26" fillId="0" borderId="1" xfId="0" applyNumberFormat="1" applyFont="1" applyBorder="1" applyAlignment="1">
      <alignment horizontal="center"/>
    </xf>
    <xf numFmtId="0" fontId="20" fillId="0" borderId="1" xfId="0" applyFont="1" applyBorder="1" applyAlignment="1">
      <alignment horizontal="center" vertical="center"/>
    </xf>
    <xf numFmtId="0" fontId="23" fillId="0" borderId="3" xfId="0" applyFont="1" applyBorder="1" applyAlignment="1">
      <alignment horizontal="left" vertical="center"/>
    </xf>
    <xf numFmtId="0" fontId="23" fillId="0" borderId="4" xfId="0" applyFont="1" applyBorder="1" applyAlignment="1">
      <alignment horizontal="left" vertical="center"/>
    </xf>
    <xf numFmtId="0" fontId="23" fillId="0" borderId="5" xfId="0" applyFont="1" applyBorder="1" applyAlignment="1">
      <alignment horizontal="left" vertical="center"/>
    </xf>
    <xf numFmtId="0" fontId="23" fillId="0" borderId="1" xfId="0" applyFont="1" applyBorder="1" applyAlignment="1">
      <alignment horizontal="left" vertical="center"/>
    </xf>
    <xf numFmtId="0" fontId="22" fillId="0" borderId="1" xfId="0" applyFont="1" applyBorder="1" applyAlignment="1">
      <alignment horizontal="left" vertical="top" wrapText="1"/>
    </xf>
    <xf numFmtId="0" fontId="20" fillId="0" borderId="1" xfId="4" applyNumberFormat="1" applyFont="1" applyBorder="1" applyAlignment="1">
      <alignment horizontal="center" vertical="center"/>
    </xf>
    <xf numFmtId="0" fontId="22" fillId="0" borderId="1" xfId="4" applyNumberFormat="1" applyFont="1" applyBorder="1" applyAlignment="1">
      <alignment horizontal="left" vertical="top" wrapText="1"/>
    </xf>
    <xf numFmtId="0" fontId="23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left" vertical="center" wrapText="1"/>
    </xf>
    <xf numFmtId="0" fontId="20" fillId="0" borderId="1" xfId="5" applyFont="1" applyBorder="1" applyAlignment="1">
      <alignment horizontal="center" vertical="center"/>
    </xf>
    <xf numFmtId="0" fontId="23" fillId="0" borderId="1" xfId="5" applyFont="1" applyBorder="1" applyAlignment="1">
      <alignment horizontal="center" vertical="center"/>
    </xf>
    <xf numFmtId="0" fontId="22" fillId="0" borderId="1" xfId="5" applyFont="1" applyBorder="1" applyAlignment="1">
      <alignment horizontal="left" vertical="center" wrapText="1"/>
    </xf>
    <xf numFmtId="0" fontId="20" fillId="0" borderId="6" xfId="4" applyNumberFormat="1" applyFont="1" applyBorder="1" applyAlignment="1">
      <alignment horizontal="center" vertical="center"/>
    </xf>
    <xf numFmtId="0" fontId="20" fillId="0" borderId="7" xfId="4" applyNumberFormat="1" applyFont="1" applyBorder="1" applyAlignment="1">
      <alignment horizontal="center" vertical="center"/>
    </xf>
    <xf numFmtId="0" fontId="20" fillId="0" borderId="8" xfId="4" applyNumberFormat="1" applyFont="1" applyBorder="1" applyAlignment="1">
      <alignment horizontal="center" vertical="center"/>
    </xf>
    <xf numFmtId="0" fontId="22" fillId="0" borderId="6" xfId="4" applyNumberFormat="1" applyFont="1" applyBorder="1" applyAlignment="1">
      <alignment horizontal="left" vertical="top" wrapText="1"/>
    </xf>
    <xf numFmtId="0" fontId="22" fillId="0" borderId="7" xfId="4" applyNumberFormat="1" applyFont="1" applyBorder="1" applyAlignment="1">
      <alignment horizontal="left" vertical="top" wrapText="1"/>
    </xf>
    <xf numFmtId="0" fontId="22" fillId="0" borderId="8" xfId="4" applyNumberFormat="1" applyFont="1" applyBorder="1" applyAlignment="1">
      <alignment horizontal="left" vertical="top" wrapText="1"/>
    </xf>
    <xf numFmtId="0" fontId="20" fillId="0" borderId="21" xfId="4" applyNumberFormat="1" applyFont="1" applyBorder="1" applyAlignment="1">
      <alignment horizontal="center" vertical="center"/>
    </xf>
    <xf numFmtId="0" fontId="20" fillId="0" borderId="19" xfId="4" applyNumberFormat="1" applyFont="1" applyBorder="1" applyAlignment="1">
      <alignment horizontal="center" vertical="center"/>
    </xf>
    <xf numFmtId="0" fontId="20" fillId="0" borderId="20" xfId="4" applyNumberFormat="1" applyFont="1" applyBorder="1" applyAlignment="1">
      <alignment horizontal="center" vertical="center"/>
    </xf>
  </cellXfs>
  <cellStyles count="8">
    <cellStyle name="Comma" xfId="1" builtinId="3"/>
    <cellStyle name="Currency" xfId="2" builtinId="4"/>
    <cellStyle name="Hyperlink" xfId="6" builtinId="8"/>
    <cellStyle name="Normal" xfId="0" builtinId="0"/>
    <cellStyle name="Normal 2" xfId="3" xr:uid="{00000000-0005-0000-0000-000003000000}"/>
    <cellStyle name="Normal 2 2" xfId="5" xr:uid="{8969BDC1-E73A-49DA-A4ED-A37A43BE0DD8}"/>
    <cellStyle name="Normal 3" xfId="4" xr:uid="{00000000-0005-0000-0000-000004000000}"/>
    <cellStyle name="Percent" xfId="7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theme" Target="theme/theme1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styles" Target="styles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sharedStrings" Target="sharedString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calcChain" Target="calcChain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107950</xdr:colOff>
      <xdr:row>3</xdr:row>
      <xdr:rowOff>38100</xdr:rowOff>
    </xdr:from>
    <xdr:to>
      <xdr:col>8</xdr:col>
      <xdr:colOff>1735493</xdr:colOff>
      <xdr:row>4</xdr:row>
      <xdr:rowOff>2450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0950" y="1657350"/>
          <a:ext cx="1627543" cy="97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539750</xdr:colOff>
      <xdr:row>11</xdr:row>
      <xdr:rowOff>44450</xdr:rowOff>
    </xdr:from>
    <xdr:ext cx="1627543" cy="974000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0" y="11823700"/>
          <a:ext cx="1627543" cy="97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584200</xdr:colOff>
      <xdr:row>12</xdr:row>
      <xdr:rowOff>44450</xdr:rowOff>
    </xdr:from>
    <xdr:ext cx="1627543" cy="974000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7200" y="13093700"/>
          <a:ext cx="1627543" cy="97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590550</xdr:colOff>
      <xdr:row>13</xdr:row>
      <xdr:rowOff>57150</xdr:rowOff>
    </xdr:from>
    <xdr:ext cx="1627543" cy="974000"/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3550" y="14376400"/>
          <a:ext cx="1627543" cy="97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444500</xdr:colOff>
      <xdr:row>5</xdr:row>
      <xdr:rowOff>25400</xdr:rowOff>
    </xdr:from>
    <xdr:to>
      <xdr:col>8</xdr:col>
      <xdr:colOff>2030361</xdr:colOff>
      <xdr:row>6</xdr:row>
      <xdr:rowOff>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6958781" y="3893369"/>
          <a:ext cx="1003300" cy="15858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711200</xdr:colOff>
      <xdr:row>6</xdr:row>
      <xdr:rowOff>107950</xdr:rowOff>
    </xdr:from>
    <xdr:to>
      <xdr:col>8</xdr:col>
      <xdr:colOff>1779160</xdr:colOff>
      <xdr:row>7</xdr:row>
      <xdr:rowOff>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1150" y="2628900"/>
          <a:ext cx="1067960" cy="39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711200</xdr:colOff>
      <xdr:row>7</xdr:row>
      <xdr:rowOff>107950</xdr:rowOff>
    </xdr:from>
    <xdr:ext cx="1067960" cy="958850"/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6807200"/>
          <a:ext cx="1067960" cy="958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711200</xdr:colOff>
      <xdr:row>8</xdr:row>
      <xdr:rowOff>107950</xdr:rowOff>
    </xdr:from>
    <xdr:ext cx="1067960" cy="958850"/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8077200"/>
          <a:ext cx="1067960" cy="958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406399</xdr:colOff>
      <xdr:row>15</xdr:row>
      <xdr:rowOff>25400</xdr:rowOff>
    </xdr:from>
    <xdr:to>
      <xdr:col>8</xdr:col>
      <xdr:colOff>2085222</xdr:colOff>
      <xdr:row>16</xdr:row>
      <xdr:rowOff>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29399" y="16884650"/>
          <a:ext cx="1678823" cy="1092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406399</xdr:colOff>
      <xdr:row>14</xdr:row>
      <xdr:rowOff>25400</xdr:rowOff>
    </xdr:from>
    <xdr:ext cx="1678823" cy="1092200"/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29399" y="15614650"/>
          <a:ext cx="1678823" cy="1092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577670</xdr:colOff>
      <xdr:row>9</xdr:row>
      <xdr:rowOff>25580</xdr:rowOff>
    </xdr:from>
    <xdr:to>
      <xdr:col>8</xdr:col>
      <xdr:colOff>1756033</xdr:colOff>
      <xdr:row>10</xdr:row>
      <xdr:rowOff>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6859717" y="9205783"/>
          <a:ext cx="1060270" cy="11783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488950</xdr:colOff>
      <xdr:row>10</xdr:row>
      <xdr:rowOff>63500</xdr:rowOff>
    </xdr:from>
    <xdr:to>
      <xdr:col>8</xdr:col>
      <xdr:colOff>2120900</xdr:colOff>
      <xdr:row>11</xdr:row>
      <xdr:rowOff>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11950" y="10572750"/>
          <a:ext cx="1631950" cy="1022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ahul/Downloads/3100433577-RTNGIRI_ENERGY-Energy-Rev%20Suppl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end To Respond Instructions"/>
      <sheetName val="Submit Response Instructions"/>
      <sheetName val="DV_sheet_"/>
      <sheetName val="5 Introduction,Guidelines an..."/>
      <sheetName val="6 Technical Specifications a..."/>
      <sheetName val="7 Commercial Details"/>
    </sheetNames>
    <sheetDataSet>
      <sheetData sheetId="0" refreshError="1"/>
      <sheetData sheetId="1" refreshError="1"/>
      <sheetData sheetId="2">
        <row r="1">
          <cell r="C1" t="str">
            <v>CFR - Costs and freight</v>
          </cell>
          <cell r="D1" t="str">
            <v>P001 - Immediate Payment</v>
          </cell>
          <cell r="E1" t="str">
            <v>0.05%</v>
          </cell>
          <cell r="F1" t="str">
            <v>00 - GST Nil</v>
          </cell>
          <cell r="G1" t="str">
            <v>We don't carry a compatible part/material</v>
          </cell>
        </row>
        <row r="2">
          <cell r="C2" t="str">
            <v>CIF - Costs, insurance &amp; freight</v>
          </cell>
          <cell r="D2" t="str">
            <v>P002 - Payment in 3 days from Invoice date</v>
          </cell>
          <cell r="E2" t="str">
            <v>0.12%</v>
          </cell>
          <cell r="F2" t="str">
            <v>09 - I/P 5% GST ND</v>
          </cell>
          <cell r="G2" t="str">
            <v>We don't supply at the requested quantity</v>
          </cell>
        </row>
        <row r="3">
          <cell r="C3" t="str">
            <v>CIP - Carriage and insurance paid to</v>
          </cell>
          <cell r="D3" t="str">
            <v>P003 - Payment in 7 days from Invoice date</v>
          </cell>
          <cell r="E3" t="str">
            <v>0.18%</v>
          </cell>
          <cell r="F3" t="str">
            <v>10 - I/P 12% GST_ND</v>
          </cell>
          <cell r="G3" t="str">
            <v>Discontinued Item</v>
          </cell>
        </row>
        <row r="4">
          <cell r="C4" t="str">
            <v>COL - Collect</v>
          </cell>
          <cell r="D4" t="str">
            <v>P004 - Payment in 10 days from Invoice date</v>
          </cell>
          <cell r="E4" t="str">
            <v>0.28%</v>
          </cell>
          <cell r="F4" t="str">
            <v>11 - I/P 18% GST_ND</v>
          </cell>
          <cell r="G4" t="str">
            <v>We are currently at full capacity</v>
          </cell>
        </row>
        <row r="5">
          <cell r="C5" t="str">
            <v>CPT - Carriage paid to</v>
          </cell>
          <cell r="D5" t="str">
            <v>P005 - Payment in 15 days from Invoice date</v>
          </cell>
          <cell r="E5" t="str">
            <v>0%</v>
          </cell>
          <cell r="F5" t="str">
            <v>12 - I/P 28% GST_ND</v>
          </cell>
          <cell r="G5" t="str">
            <v>Missing information / not enough information provided</v>
          </cell>
        </row>
        <row r="6">
          <cell r="C6" t="str">
            <v>DAF - Delivered at frontier</v>
          </cell>
          <cell r="D6" t="str">
            <v>P006 - Payment in 21 days from Invoice date</v>
          </cell>
          <cell r="F6" t="str">
            <v>13 - I/P GST 5% (2.5%CGST + 2.5%SGST)_Ded</v>
          </cell>
          <cell r="G6" t="str">
            <v>Other</v>
          </cell>
        </row>
        <row r="7">
          <cell r="C7" t="str">
            <v>DAP - Delivery at Place</v>
          </cell>
          <cell r="D7" t="str">
            <v>P007 - Payment in 30 days from Invoice date</v>
          </cell>
          <cell r="F7" t="str">
            <v>14 - I/P GST 5% (2.5%CGST + 2.5%SGST)_RCM</v>
          </cell>
        </row>
        <row r="8">
          <cell r="C8" t="str">
            <v>DAT - Delivery at Terminal</v>
          </cell>
          <cell r="D8" t="str">
            <v>P008 - Payment in 35 days from Invoice date</v>
          </cell>
          <cell r="F8" t="str">
            <v>15 - I/P GST 5% (2.5%CGST +2.5%UGST)_Ded</v>
          </cell>
        </row>
        <row r="9">
          <cell r="C9" t="str">
            <v>DDP - Delivered Duty Paid</v>
          </cell>
          <cell r="D9" t="str">
            <v>P009 - Payment in 45 days from Invoice date</v>
          </cell>
          <cell r="F9" t="str">
            <v>16 - I/P GST 5% (2.5%CGST + 2.5%UGST)_RCM</v>
          </cell>
        </row>
        <row r="10">
          <cell r="C10" t="str">
            <v>DDU - Delivered Duty Unpaid</v>
          </cell>
          <cell r="D10" t="str">
            <v>P010 - Payment in 60 days from Invoice date</v>
          </cell>
          <cell r="F10" t="str">
            <v>17 - I/P GST 5% (IGST)_Ded</v>
          </cell>
        </row>
        <row r="11">
          <cell r="C11" t="str">
            <v>DEQ - Delivered ex quay (duty paid)</v>
          </cell>
          <cell r="D11" t="str">
            <v>P011 - Payment in 90 days from Invoice date</v>
          </cell>
          <cell r="F11" t="str">
            <v>18 - /P GST 5% (IGST)_RCM</v>
          </cell>
        </row>
        <row r="12">
          <cell r="C12" t="str">
            <v>DES - Delivered ex ship</v>
          </cell>
          <cell r="D12" t="str">
            <v>P012 - Payment in 180 days from Invoice date</v>
          </cell>
          <cell r="F12" t="str">
            <v>70 - I/P GST 5% (GST + SGST)_RCM_ND</v>
          </cell>
        </row>
        <row r="13">
          <cell r="C13" t="str">
            <v>EW1 - Ex-Works Freight PAID</v>
          </cell>
          <cell r="D13" t="str">
            <v>P013 - 100% Against delivery of material and acceptance</v>
          </cell>
          <cell r="F13" t="str">
            <v>71 - I/P GST 5% (IGST)_RCM_ND</v>
          </cell>
        </row>
        <row r="14">
          <cell r="C14" t="str">
            <v>EW2 - Ex-Works Freight TO PAY</v>
          </cell>
          <cell r="D14" t="str">
            <v>P014 - Payment in 7 days from GRN date</v>
          </cell>
          <cell r="F14" t="str">
            <v>19 - I/P GST 12% (6%CGST+ 6%SGST)_Ded</v>
          </cell>
        </row>
        <row r="15">
          <cell r="C15" t="str">
            <v>EW3 - Ex- Works TO PAY(JSW Truck)</v>
          </cell>
          <cell r="D15" t="str">
            <v>P015 - Payment in 15 days from GRN date</v>
          </cell>
          <cell r="F15" t="str">
            <v>20 - I/P GST 12% (6%CGST +6%SGST)_RCM</v>
          </cell>
        </row>
        <row r="16">
          <cell r="C16" t="str">
            <v>EW4 - FRT INCLUSIVE-STK TRANSFER</v>
          </cell>
          <cell r="D16" t="str">
            <v>P016 - Payment in 21 days from GRN date</v>
          </cell>
          <cell r="F16" t="str">
            <v>21 - I/P GST 12% (6%CGST + 6%UGST)_Ded</v>
          </cell>
        </row>
        <row r="17">
          <cell r="C17" t="str">
            <v>EX1 - C Form Ex Factory</v>
          </cell>
          <cell r="D17" t="str">
            <v>P017 - Payment in 30 days from GRN date</v>
          </cell>
          <cell r="F17" t="str">
            <v>22 - I/P GST 12% (6%CGST + 6%UGST)_RCM</v>
          </cell>
        </row>
        <row r="18">
          <cell r="C18" t="str">
            <v>EX2 - EX Works with CST- Spec. Price</v>
          </cell>
          <cell r="D18" t="str">
            <v>P018 - Payment in 45 days from GRN date</v>
          </cell>
          <cell r="F18" t="str">
            <v>23 - I/P GST 12% (IGST)_Ded</v>
          </cell>
        </row>
        <row r="19">
          <cell r="C19" t="str">
            <v>EXD - Ex Depot</v>
          </cell>
          <cell r="D19" t="str">
            <v>P019 - Payment in 60 days from GRN date</v>
          </cell>
          <cell r="F19" t="str">
            <v>24 - I/P GST 12% (IGST)_RCM</v>
          </cell>
        </row>
        <row r="20">
          <cell r="C20" t="str">
            <v>EXW - Ex - Works NA</v>
          </cell>
          <cell r="D20" t="str">
            <v>P020 - Payment in 90 days from GRN date</v>
          </cell>
          <cell r="F20" t="str">
            <v>72 - I/P GST 12% (GST + SGST)_RCM_ND</v>
          </cell>
        </row>
        <row r="21">
          <cell r="C21" t="str">
            <v>FAS - Free Alongside Ship</v>
          </cell>
          <cell r="D21" t="str">
            <v>P021 - Payment in 120 days from GRN date</v>
          </cell>
          <cell r="F21" t="str">
            <v>73 - I/P GST 12% (IGST)_RCM_ND</v>
          </cell>
        </row>
        <row r="22">
          <cell r="C22" t="str">
            <v>FBT - FOR Bellary transporter Godown</v>
          </cell>
          <cell r="D22" t="str">
            <v>P022 - Payment in 10th of every month on submis of bill</v>
          </cell>
          <cell r="F22" t="str">
            <v>25 - I/P GST 18% ( 9%CGST + 9%SGST)_Ded</v>
          </cell>
        </row>
        <row r="23">
          <cell r="C23" t="str">
            <v>FCA - Free Carrier</v>
          </cell>
          <cell r="D23" t="str">
            <v>P023 - 100% Against Completion of Work</v>
          </cell>
          <cell r="F23" t="str">
            <v>26 - I/P GST 18% (9%CGST +9% SGST)_RCM</v>
          </cell>
        </row>
        <row r="24">
          <cell r="C24" t="str">
            <v>FH - Free house</v>
          </cell>
          <cell r="D24" t="str">
            <v>P024 - Payable immediately against SRN(Against RA Bill)</v>
          </cell>
          <cell r="F24" t="str">
            <v>27 - I/P GST 18% (9%CGST + 9%UGST)_Ded</v>
          </cell>
        </row>
        <row r="25">
          <cell r="C25" t="str">
            <v>FHT - FOR Hospet transporter Godown</v>
          </cell>
          <cell r="D25" t="str">
            <v>P025 - Payable in 7 days from SRN Date(Against RA Bill)</v>
          </cell>
          <cell r="F25" t="str">
            <v>28 - I/P GST 18% (9%CGST + 9%UGST)_RCM</v>
          </cell>
        </row>
        <row r="26">
          <cell r="C26" t="str">
            <v>FIR - Prepaid (Included in Price)</v>
          </cell>
          <cell r="D26" t="str">
            <v>P026 -Payable in 10 days from SRN Date(Against RA Bill)</v>
          </cell>
          <cell r="F26" t="str">
            <v>29 - I/P GST 18% (IGST)_Ded</v>
          </cell>
        </row>
        <row r="27">
          <cell r="C27" t="str">
            <v>FKT - FOR Kurnool Transporter Godown</v>
          </cell>
          <cell r="D27" t="str">
            <v>P027 -Payable in 15 days from SRN Date(Against RA Bill)</v>
          </cell>
          <cell r="F27" t="str">
            <v>30 - I/P GST 18% (IGST)_RCM</v>
          </cell>
        </row>
        <row r="28">
          <cell r="C28" t="str">
            <v>FNG - FOR Nandyal JSW Cement Guest H</v>
          </cell>
          <cell r="D28" t="str">
            <v>P028-Payable in 20 days from SRN Date(Against RA Bill)</v>
          </cell>
          <cell r="F28" t="str">
            <v>74 - I/P GST 18% (GST + SGST)_RCM_ND</v>
          </cell>
        </row>
        <row r="29">
          <cell r="C29" t="str">
            <v>FNT - FOR Nandyal Transporter Godown</v>
          </cell>
          <cell r="D29" t="str">
            <v>P029-Payable in 21 days from SRN Date(Against RA Bill)</v>
          </cell>
          <cell r="F29" t="str">
            <v>75 - I/P GST 18% (IGST)_RCM_ND</v>
          </cell>
        </row>
        <row r="30">
          <cell r="C30" t="str">
            <v>FO1 - FOR with CST- Spec. Price</v>
          </cell>
          <cell r="D30" t="str">
            <v>P030-Payable in 30 days from SRN Date(Against RA Bill)</v>
          </cell>
          <cell r="F30" t="str">
            <v>31 - I/P GST 28% (14%CGST + 14%SGST)_Ded</v>
          </cell>
        </row>
        <row r="31">
          <cell r="C31" t="str">
            <v>FO2 - C Form FOR</v>
          </cell>
          <cell r="D31" t="str">
            <v>P031-100% Payment every 10th of month on subm of bill</v>
          </cell>
          <cell r="F31" t="str">
            <v>32 - I/P GST 28% (14%CGST + 14%SGST)_RCM</v>
          </cell>
        </row>
        <row r="32">
          <cell r="C32" t="str">
            <v>FOB - Free on board</v>
          </cell>
          <cell r="D32" t="str">
            <v>P032-50% After 6 months,Balance 50%</v>
          </cell>
          <cell r="F32" t="str">
            <v>33 - I/P GST 28% (14%CGST + 14%UGST)_Ded</v>
          </cell>
        </row>
        <row r="33">
          <cell r="C33" t="str">
            <v>FOR - Free on Road / Rail</v>
          </cell>
          <cell r="D33" t="str">
            <v>P033-95% immediate,5%on cerf by usr</v>
          </cell>
          <cell r="F33" t="str">
            <v>34 - I/P GST 28% (14%CGST + 14%UGST)_RCM</v>
          </cell>
        </row>
        <row r="34">
          <cell r="C34" t="str">
            <v>FOT - Free on Trade</v>
          </cell>
          <cell r="D34" t="str">
            <v>P034-As per Note</v>
          </cell>
          <cell r="F34" t="str">
            <v>35 - I/P GST 28% (IGST)_Ded</v>
          </cell>
        </row>
        <row r="35">
          <cell r="C35" t="str">
            <v>FTG - FOR Toranagallu.</v>
          </cell>
          <cell r="D35" t="str">
            <v>P035-100% against Proforma invoice</v>
          </cell>
          <cell r="F35" t="str">
            <v>36 - I/P GST 28% (IGST)_RCM</v>
          </cell>
        </row>
        <row r="36">
          <cell r="C36" t="str">
            <v>FZS - For JSWCL Site</v>
          </cell>
          <cell r="D36" t="str">
            <v>P036-50% ag Prof inv &amp; Bal 50%ag GR</v>
          </cell>
          <cell r="F36" t="str">
            <v>76 - I/P GST 28% (GST + SGST)_RCM_ND</v>
          </cell>
        </row>
        <row r="37">
          <cell r="C37" t="str">
            <v>PBT - To-Pay Bellary transport Godow</v>
          </cell>
          <cell r="D37" t="str">
            <v>P037-100% After RCPT upon Certification by Admin dept</v>
          </cell>
          <cell r="F37" t="str">
            <v>77 - I/P GST 28% (IGST)_RCM_ND</v>
          </cell>
        </row>
        <row r="38">
          <cell r="C38" t="str">
            <v>PHT - To-Pay Hospet transport Godown</v>
          </cell>
          <cell r="D38" t="str">
            <v>P038-100% Against Monthly Running Bills</v>
          </cell>
          <cell r="F38" t="str">
            <v>42 - I/P GST + CESS on Car 28%+ 1% (IGST)</v>
          </cell>
        </row>
        <row r="39">
          <cell r="C39" t="str">
            <v>PJS - To - Pay JSWCL Site</v>
          </cell>
          <cell r="D39" t="str">
            <v>P039-10% Adv, 80% Ag LC, 5% Ag PAT, 5% Ag FAT</v>
          </cell>
          <cell r="F39" t="str">
            <v>43 - I/P GST + CESS on Car 28%+ 3% (IGST)</v>
          </cell>
        </row>
        <row r="40">
          <cell r="C40" t="str">
            <v>PNT - To - Pay Nandyal Transporter G</v>
          </cell>
          <cell r="D40" t="str">
            <v>P040-100% Advance along with Order</v>
          </cell>
          <cell r="F40" t="str">
            <v>44 - I/P GST + CESS on Car 28%+ 15% (IGST)</v>
          </cell>
        </row>
        <row r="41">
          <cell r="C41" t="str">
            <v>PPD - Prepaid</v>
          </cell>
          <cell r="D41" t="str">
            <v>P041-100% against proforma invoice &amp; Proof of despatch</v>
          </cell>
          <cell r="F41" t="str">
            <v>45 - I/P GST + CESS on Car 28%+ 1% (CGST+SGST)</v>
          </cell>
        </row>
        <row r="42">
          <cell r="C42" t="str">
            <v>UN - Not Free</v>
          </cell>
          <cell r="D42" t="str">
            <v>P042-10% AD.AG.ABG, 80% AG.DEL,10% AG.PBG</v>
          </cell>
          <cell r="F42" t="str">
            <v>46 - I/P GST + CESS on Car 28%+ 3% (CGST+SGST)</v>
          </cell>
        </row>
        <row r="43">
          <cell r="C43" t="str">
            <v>ZEX - Salem Ex-Works Freight</v>
          </cell>
          <cell r="D43" t="str">
            <v>P043-100% Payment within 30 days</v>
          </cell>
          <cell r="F43" t="str">
            <v>47 - I/P GST + CESS on Car 28%+ 15% (CGST+SGST)</v>
          </cell>
        </row>
        <row r="44">
          <cell r="C44" t="str">
            <v>ZFR - Salem FOR Freight</v>
          </cell>
          <cell r="D44" t="str">
            <v>P044-90% against delivery and 10% against PBG</v>
          </cell>
          <cell r="F44" t="str">
            <v>80 - I/P 5% (CGST + SGST)_ND</v>
          </cell>
        </row>
        <row r="45">
          <cell r="D45" t="str">
            <v>P045-100 CS AG DO (CAD) D/P</v>
          </cell>
          <cell r="F45" t="str">
            <v>81 - I/P 12% (CGST + SGST)_ND</v>
          </cell>
        </row>
        <row r="46">
          <cell r="D46" t="str">
            <v>P046-100%on Cash against document(CAD)/Sight draft</v>
          </cell>
          <cell r="F46" t="str">
            <v>82 - I/P 18% (CGST + SGST)_ND</v>
          </cell>
        </row>
        <row r="47">
          <cell r="D47" t="str">
            <v>P047-100% Advance</v>
          </cell>
          <cell r="F47" t="str">
            <v>83 - I/P 28% (CGST + SGST)_ND</v>
          </cell>
        </row>
        <row r="48">
          <cell r="D48" t="str">
            <v>P048-80%API , balance 20% after Receipt of material</v>
          </cell>
          <cell r="F48" t="str">
            <v>37 - I/P GST 5% (IGST)_Import</v>
          </cell>
        </row>
        <row r="49">
          <cell r="D49" t="str">
            <v>P049-Payment within 7 days</v>
          </cell>
          <cell r="F49" t="str">
            <v>38 - I/P GST 12% (IGST)_Import</v>
          </cell>
        </row>
        <row r="50">
          <cell r="D50" t="str">
            <v>P050-20% TT advance, 80% TT one week before shipment</v>
          </cell>
          <cell r="F50" t="str">
            <v>39 - I/P GST 18% (IGST)_Import</v>
          </cell>
        </row>
        <row r="51">
          <cell r="D51" t="str">
            <v>P051-90% against PI &amp; 10% after Receipt of material</v>
          </cell>
          <cell r="F51" t="str">
            <v>40 - I/P GST 28% (IGST)_Import</v>
          </cell>
        </row>
        <row r="52">
          <cell r="D52" t="str">
            <v>P052-100% within 30days of receipt of material at site</v>
          </cell>
        </row>
        <row r="53">
          <cell r="D53" t="str">
            <v>P053-90% within 30 days and balance 10% against PBG</v>
          </cell>
        </row>
        <row r="54">
          <cell r="D54" t="str">
            <v>P054-100% against 30 days LC from the date of BOE</v>
          </cell>
        </row>
        <row r="55">
          <cell r="D55" t="str">
            <v>P055-70% against Performa invoice , balance in 30 days</v>
          </cell>
        </row>
        <row r="56">
          <cell r="D56" t="str">
            <v>P056-40% Advance, Balance 60% Against Proforma Invoice</v>
          </cell>
        </row>
        <row r="57">
          <cell r="D57" t="str">
            <v>P057-10% adv ag BG, bal with in 15 days after receipt</v>
          </cell>
        </row>
        <row r="58">
          <cell r="D58" t="str">
            <v>P058-15%advance AG.BG. 85% ag.delivery</v>
          </cell>
        </row>
        <row r="59">
          <cell r="D59" t="str">
            <v>P059-100% against PI /Exchange of material</v>
          </cell>
        </row>
        <row r="60">
          <cell r="D60" t="str">
            <v>P060-10%adv against ABG &amp; bal 90% against per.Inv</v>
          </cell>
        </row>
        <row r="61">
          <cell r="D61" t="str">
            <v>P061-75%ag PI bal 25%ag perform. after 3mths of install</v>
          </cell>
        </row>
        <row r="62">
          <cell r="D62" t="str">
            <v>P062-25%PI,25% ag del.bal in 60days/comsng.ref.sup.note</v>
          </cell>
        </row>
        <row r="63">
          <cell r="D63" t="str">
            <v>P063-90% against PI/PF 10% against PBG</v>
          </cell>
        </row>
        <row r="64">
          <cell r="D64" t="str">
            <v>P064-100% Against quaterly bills</v>
          </cell>
        </row>
        <row r="65">
          <cell r="D65" t="str">
            <v>P065-10%ADV. AG.BG.80% AGA.PI/PD/ 10%AG.PBG 12</v>
          </cell>
        </row>
        <row r="66">
          <cell r="D66" t="str">
            <v>P066-90% within 30 days of receipt, 10% against PPG</v>
          </cell>
        </row>
        <row r="67">
          <cell r="D67" t="str">
            <v>P067-100% against 45 days LC from the date of BOE</v>
          </cell>
        </row>
        <row r="68">
          <cell r="D68" t="str">
            <v>P068-100% against 60 days LC from the date of invoice</v>
          </cell>
        </row>
        <row r="69">
          <cell r="D69" t="str">
            <v>P069-100% against 90 days LC from the date of invoice</v>
          </cell>
        </row>
        <row r="70">
          <cell r="D70" t="str">
            <v>P070-100% against 180 days LC from BOE date with 10%PBG</v>
          </cell>
        </row>
        <row r="71">
          <cell r="D71" t="str">
            <v>P071-100% Against monthly Running Bills</v>
          </cell>
        </row>
        <row r="72">
          <cell r="D72" t="str">
            <v>P072-90% Against PI &amp; 10% against installation &amp; Comm</v>
          </cell>
        </row>
        <row r="73">
          <cell r="D73" t="str">
            <v>P073-30%Adv  Ag ABG, 60% Ag. API bal 10% after Comm</v>
          </cell>
        </row>
        <row r="74">
          <cell r="D74" t="str">
            <v>P074-40% PI, 40% Supply &amp; balance 20% after completion</v>
          </cell>
        </row>
        <row r="75">
          <cell r="D75" t="str">
            <v>P075-10% on Drawing, Aprox 80% PI &amp; 10% after Comms</v>
          </cell>
        </row>
        <row r="76">
          <cell r="D76" t="str">
            <v>P076-30% ABG, 60% 15 day from recipt Balance 10% PBG</v>
          </cell>
        </row>
        <row r="77">
          <cell r="D77" t="str">
            <v>P077-30% API, 60% Against delivery 30 days &amp; 10% COMMS</v>
          </cell>
        </row>
        <row r="78">
          <cell r="D78" t="str">
            <v>P078-Payment in 15 days of inv subj to Recpt&amp;acceptance</v>
          </cell>
        </row>
        <row r="79">
          <cell r="D79" t="str">
            <v>P079-Payment in 30 days of inv subj to Recpt&amp;acceptance</v>
          </cell>
        </row>
        <row r="80">
          <cell r="D80" t="str">
            <v>P080-Payment in 7 days of inv subj to Recpt&amp;acceptance</v>
          </cell>
        </row>
        <row r="81">
          <cell r="D81" t="str">
            <v>P081-20% Ag ABG, 70% Ag PI, balance 10% within 10 days</v>
          </cell>
        </row>
        <row r="82">
          <cell r="D82" t="str">
            <v>P082-50% Advance Against ABG &amp; Balance 50% Against PI</v>
          </cell>
        </row>
        <row r="83">
          <cell r="D83" t="str">
            <v>P083-70% API Bal in 15 days after Receipt of Material</v>
          </cell>
        </row>
        <row r="84">
          <cell r="D84" t="str">
            <v>P084-95% against RA, 5% after completion within 60 days</v>
          </cell>
        </row>
        <row r="85">
          <cell r="D85" t="str">
            <v>P085-25% advance against ABG &amp; balance 75% against API</v>
          </cell>
        </row>
        <row r="86">
          <cell r="D86" t="str">
            <v>P086-100% Immediate after receipt of material at site</v>
          </cell>
        </row>
        <row r="87">
          <cell r="D87" t="str">
            <v>P087-100% after Inspection before dispatch</v>
          </cell>
        </row>
        <row r="88">
          <cell r="D88" t="str">
            <v>P088-10% Ad Ag BG &amp; 90% w/i 30 days from recpt &amp; accept</v>
          </cell>
        </row>
        <row r="89">
          <cell r="D89" t="str">
            <v>P089-20% Ad Ag BG &amp; 80% w/i 30 days from recpt &amp; accept</v>
          </cell>
        </row>
        <row r="90">
          <cell r="D90" t="str">
            <v>P090-10% Ad Ag BG &amp; 90% w/i 15 days from recpt &amp; accept</v>
          </cell>
        </row>
        <row r="91">
          <cell r="D91" t="str">
            <v>P091-20% Ad Ag BG &amp; 80% w/i 15 days from recpt &amp; accept</v>
          </cell>
        </row>
        <row r="92">
          <cell r="D92" t="str">
            <v>P092-Payment in 21 days of inv subj to Recpt&amp;acceptance</v>
          </cell>
        </row>
        <row r="93">
          <cell r="D93" t="str">
            <v>P093-90% w/i 30days from recp/accep &amp; 10 after install.</v>
          </cell>
        </row>
        <row r="94">
          <cell r="D94" t="str">
            <v>P094-90% w/i 15days from recp/accep &amp; 10 after install.</v>
          </cell>
        </row>
        <row r="95">
          <cell r="D95" t="str">
            <v>P095-Pymnt in 30 days from recp/acc &amp;Ag BG of 10% basic</v>
          </cell>
        </row>
        <row r="96">
          <cell r="D96" t="str">
            <v>P096-Pymnt in 15 days from recp/acc &amp;Ag BG of 10% basic</v>
          </cell>
        </row>
        <row r="97">
          <cell r="D97" t="str">
            <v>P097-95% Cash agst doc bal 5% aft Cmpl of prfm.</v>
          </cell>
        </row>
        <row r="98">
          <cell r="D98" t="str">
            <v>P098-30%Adv  Ag ABG 70% API</v>
          </cell>
        </row>
        <row r="99">
          <cell r="D99" t="str">
            <v>P099-20% Agst Drawing Approval, 80% Agst PI.</v>
          </cell>
        </row>
        <row r="100">
          <cell r="D100" t="str">
            <v>P100-75% ag PI, 25% within 30 days</v>
          </cell>
        </row>
        <row r="101">
          <cell r="D101" t="str">
            <v>P101-75% ag PI, 25% within 30 days after GRN</v>
          </cell>
        </row>
        <row r="102">
          <cell r="D102" t="str">
            <v>P102-20% CBG + 80% API</v>
          </cell>
        </row>
        <row r="103">
          <cell r="D103" t="str">
            <v>P103-50% adv ag PI &amp; 50%+ tax &amp; duties</v>
          </cell>
        </row>
        <row r="104">
          <cell r="D104" t="str">
            <v>P104-30%Adv against ABG&amp;70%Taxes after receipt of mtrl</v>
          </cell>
        </row>
        <row r="105">
          <cell r="D105" t="str">
            <v>P105-85% against Proforma,balance with in 15days</v>
          </cell>
        </row>
        <row r="106">
          <cell r="D106" t="str">
            <v>P106-95%+Tax A/g RA within 15 Days &amp; Bal after 3 Month</v>
          </cell>
        </row>
        <row r="107">
          <cell r="D107" t="str">
            <v>P107-95%+Tax A/g RA within 15 Days &amp; Bal after 6 Month</v>
          </cell>
        </row>
        <row r="108">
          <cell r="D108" t="str">
            <v>P108-95%+Tax A/g RA within 15 Days &amp; Bal after 12 Month</v>
          </cell>
        </row>
        <row r="109">
          <cell r="D109" t="str">
            <v>P109-90%+Tax A/g RA within 15 Days &amp; Bal 12 Mth A/g PBG</v>
          </cell>
        </row>
        <row r="110">
          <cell r="D110" t="str">
            <v>P110-PAYMENT IN 7 DAYS FROM DATE OF RECEIPT OF MATERIAL</v>
          </cell>
        </row>
        <row r="111">
          <cell r="D111" t="str">
            <v>P111-PAYMENT IN 15 DAYS FROM DT. OF RECEIPT OF MATERIAL</v>
          </cell>
        </row>
        <row r="112">
          <cell r="D112" t="str">
            <v>P112-PAYMENT IN 21 DAYS FROM DT. OF RECEIPT OF MATERIAL</v>
          </cell>
        </row>
        <row r="113">
          <cell r="D113" t="str">
            <v>P113-PAYMENT IN 30 DAYS FROM DT. OF RECEIPT OF MATERIAL</v>
          </cell>
        </row>
        <row r="114">
          <cell r="D114" t="str">
            <v>P114-PAYMENT IN 45 DAYS FROM DT. OF RECEIPT OF MATERIAL</v>
          </cell>
        </row>
        <row r="115">
          <cell r="D115" t="str">
            <v>P115-PAYMENT IN 60 DAYS FROM DT. OF RECEIPT OF MATERIAL</v>
          </cell>
        </row>
        <row r="116">
          <cell r="D116" t="str">
            <v>P116-PAYMENT IN 90 DAYS FROM DT. OF RECEIPT OF MATERIAL</v>
          </cell>
        </row>
        <row r="117">
          <cell r="D117" t="str">
            <v>P117-PAYMENT IN 120 DAYS FROM DT.OF RECEIPT OF MATERIAL</v>
          </cell>
        </row>
        <row r="118">
          <cell r="D118" t="str">
            <v>P118-90%+100%Tax in 30 (D),Retention10% till Completion</v>
          </cell>
        </row>
        <row r="119">
          <cell r="D119" t="str">
            <v>P119-2% 10, Net 30days</v>
          </cell>
        </row>
        <row r="120">
          <cell r="D120" t="str">
            <v>P120-1% 10, Net 30days</v>
          </cell>
        </row>
        <row r="121">
          <cell r="D121" t="str">
            <v>P121-CIA-50 %; 50% NET 30</v>
          </cell>
        </row>
        <row r="122">
          <cell r="D122" t="str">
            <v>P122-CIA-25%, Net 30-75%</v>
          </cell>
        </row>
        <row r="123">
          <cell r="D123" t="str">
            <v>P123-NET 10</v>
          </cell>
        </row>
        <row r="124">
          <cell r="D124" t="str">
            <v>P124-50% CIA, 50% ON COMP</v>
          </cell>
        </row>
        <row r="125">
          <cell r="D125" t="str">
            <v>P125-NET 5</v>
          </cell>
        </row>
        <row r="126">
          <cell r="D126" t="str">
            <v>P126-CIA-50%, Net 10-50%</v>
          </cell>
        </row>
        <row r="127">
          <cell r="D127" t="str">
            <v>P127-50% payment in advance and 50% in 10 days.</v>
          </cell>
        </row>
        <row r="128">
          <cell r="D128" t="str">
            <v>P128-1/2% 10 Net 30</v>
          </cell>
        </row>
        <row r="129">
          <cell r="D129" t="str">
            <v>P130-10%on Drawing App,85% agt del,5%PBG</v>
          </cell>
        </row>
        <row r="130">
          <cell r="D130" t="str">
            <v>P131-Paymt shall released within 15days, 5% against PBG</v>
          </cell>
        </row>
        <row r="131">
          <cell r="D131" t="str">
            <v>P132-25% adv 70% within 15 days , 5% against PBG</v>
          </cell>
        </row>
        <row r="132">
          <cell r="D132" t="str">
            <v>P133-100% against ABG</v>
          </cell>
        </row>
        <row r="133">
          <cell r="D133" t="str">
            <v>P134-100% against exchange of Documents</v>
          </cell>
        </row>
        <row r="134">
          <cell r="D134" t="str">
            <v>P135-100% Against Completion of Work with in 30d/credit</v>
          </cell>
        </row>
        <row r="135">
          <cell r="D135" t="str">
            <v>P136-Net 30 Days from Inv Date/Rel of Pipe for shipment</v>
          </cell>
        </row>
        <row r="136">
          <cell r="D136" t="str">
            <v>P137-Due upon Receipt of Invoice</v>
          </cell>
        </row>
        <row r="137">
          <cell r="D137" t="str">
            <v>P138-Credit Card</v>
          </cell>
        </row>
        <row r="138">
          <cell r="D138" t="str">
            <v>P139-90%+Tax A/g RA within 30 Days,Bal 10%Suc.com ofPBG</v>
          </cell>
        </row>
        <row r="139">
          <cell r="D139" t="str">
            <v>P140-95%+Tax A/g RA within 30 Days,Bal 5%Suc.com ofPBG</v>
          </cell>
        </row>
        <row r="140">
          <cell r="D140" t="str">
            <v>P141-90% against shipping docs,Bal10% against FAC&amp;PBG</v>
          </cell>
        </row>
        <row r="141">
          <cell r="D141" t="str">
            <v>P147-50% ADV ag ABG 50% ag Inv in 30D</v>
          </cell>
        </row>
        <row r="142">
          <cell r="D142" t="str">
            <v>P148-10% AdvABG 85%RA bill  20 D 70%30D30%5%RTBG</v>
          </cell>
        </row>
        <row r="143">
          <cell r="D143" t="str">
            <v>P149-90% within 30days agstRA bills,10%RT DEF Liab</v>
          </cell>
        </row>
        <row r="144">
          <cell r="D144" t="str">
            <v>P150-10% adv ag ABG, 80% in 15 days ag RA, 10% ag PBG</v>
          </cell>
        </row>
        <row r="145">
          <cell r="D145" t="str">
            <v>P151-100% of PO 60% RA bill  20 D 40%RA bill 30 D</v>
          </cell>
        </row>
        <row r="146">
          <cell r="D146" t="str">
            <v>P152-90% on CAD, balance 10 % with in 3 PC// PBG / Del</v>
          </cell>
        </row>
        <row r="147">
          <cell r="D147" t="str">
            <v>P153-90% in 30 Days agReceiptMat, balanc,10%PBG</v>
          </cell>
        </row>
        <row r="148">
          <cell r="D148" t="str">
            <v>P154-10% Adv. 80% 30 days Credit 10% PBG</v>
          </cell>
        </row>
        <row r="149">
          <cell r="D149" t="str">
            <v>P500-95% immediate,5% on certified by user department</v>
          </cell>
        </row>
        <row r="150">
          <cell r="D150" t="str">
            <v>P527-100% Against wire transfer</v>
          </cell>
        </row>
        <row r="151">
          <cell r="D151" t="str">
            <v>P529-50%Adv.along with order&amp;Bal 50%  A.P.I</v>
          </cell>
        </row>
        <row r="152">
          <cell r="D152" t="str">
            <v>P545-100% Against despatch doc through letter of credit</v>
          </cell>
        </row>
        <row r="153">
          <cell r="D153" t="str">
            <v>P551-100% on COD basis</v>
          </cell>
        </row>
        <row r="154">
          <cell r="D154" t="str">
            <v>P552-100% Advance as per delivery schedule</v>
          </cell>
        </row>
        <row r="155">
          <cell r="D155" t="str">
            <v>P555-100% Against 30 days LC from the date of invoice</v>
          </cell>
        </row>
        <row r="156">
          <cell r="D156" t="str">
            <v>P557-100% By irrevocable LC at sight</v>
          </cell>
        </row>
        <row r="157">
          <cell r="D157" t="str">
            <v>P558-100% LC/advance</v>
          </cell>
        </row>
        <row r="158">
          <cell r="D158" t="str">
            <v>P559-180 days usance LC against BOL</v>
          </cell>
        </row>
        <row r="159">
          <cell r="D159" t="str">
            <v>P560-Cash Against Document - CAD</v>
          </cell>
        </row>
        <row r="160">
          <cell r="D160" t="str">
            <v>P561-10% against drawing Appr &amp; 90% against PI</v>
          </cell>
        </row>
        <row r="161">
          <cell r="D161" t="str">
            <v>P562-50%Advance, 50%After Successful completion of work</v>
          </cell>
        </row>
        <row r="162">
          <cell r="D162" t="str">
            <v>P563-15% Advance ABG &amp; 85% Against PI</v>
          </cell>
        </row>
        <row r="163">
          <cell r="D163" t="str">
            <v>P564-50%-Supply,40%-I&amp;C,10%- within 30 days</v>
          </cell>
        </row>
        <row r="164">
          <cell r="D164" t="str">
            <v>P565-25%Advance alongwith order,75% Against PI</v>
          </cell>
        </row>
        <row r="165">
          <cell r="D165" t="str">
            <v>P566-10%adv,ABG,10% agt drg.app,70%PI,bal10%PBG</v>
          </cell>
        </row>
        <row r="166">
          <cell r="D166" t="str">
            <v>P567-40% Adv.agt ABG, 60% API</v>
          </cell>
        </row>
        <row r="167">
          <cell r="D167" t="str">
            <v>P568-100%AGT PROFORMA INVOICE,10% AGT PBG</v>
          </cell>
        </row>
        <row r="168">
          <cell r="D168" t="str">
            <v>P569-15%Adv agt G.A Drg App,85% Agt PI</v>
          </cell>
        </row>
        <row r="169">
          <cell r="D169" t="str">
            <v>P570-20%Adv,70%API,Bal 10% within 30 days</v>
          </cell>
        </row>
        <row r="170">
          <cell r="D170" t="str">
            <v>P571-90%within 90 Days frm Inv dt10% AG PBG</v>
          </cell>
        </row>
        <row r="171">
          <cell r="D171" t="str">
            <v>P572-100%within 30 Days -D/A(Through Bank)</v>
          </cell>
        </row>
        <row r="172">
          <cell r="D172" t="str">
            <v>P573-10%Adv agst ABG,80%API,10%successful comm</v>
          </cell>
        </row>
        <row r="173">
          <cell r="D173" t="str">
            <v>P574-30%Adv along with PO, 70% agst PI</v>
          </cell>
        </row>
        <row r="174">
          <cell r="D174" t="str">
            <v>P575-30%Adv agt ABG&amp;70%Taxes aft. receipt of mtrl,5%PBG</v>
          </cell>
        </row>
        <row r="175">
          <cell r="D175" t="str">
            <v>P576-20%Adv ABG,80% against PI</v>
          </cell>
        </row>
        <row r="176">
          <cell r="D176" t="str">
            <v>P577-50% Advance,50% Receipt of Mat. 30days</v>
          </cell>
        </row>
        <row r="177">
          <cell r="D177" t="str">
            <v>P578-40% Against PI, 60% agt 30days</v>
          </cell>
        </row>
        <row r="178">
          <cell r="D178" t="str">
            <v>P579-20%Adv, 80% agt disp doc proof</v>
          </cell>
        </row>
        <row r="179">
          <cell r="D179" t="str">
            <v>P580-10%Adv,80% -90days credit,10%Suc. comm</v>
          </cell>
        </row>
        <row r="180">
          <cell r="D180" t="str">
            <v>P581-90%CAD,10% against completion of work</v>
          </cell>
        </row>
        <row r="181">
          <cell r="D181" t="str">
            <v>P582-30days credit alongwith 10%PBG</v>
          </cell>
        </row>
        <row r="182">
          <cell r="D182" t="str">
            <v>P583-30% against PI, balance 30 days credit</v>
          </cell>
        </row>
        <row r="183">
          <cell r="D183" t="str">
            <v>P584-95% A/g RA within 30Days &amp; Bal after 3 Month</v>
          </cell>
        </row>
        <row r="184">
          <cell r="D184" t="str">
            <v>P585-95% A/g RA within 30Days &amp; Bal after 6 Month</v>
          </cell>
        </row>
        <row r="185">
          <cell r="D185" t="str">
            <v>P586-95% within 30 days of receipt, 5% against PBG</v>
          </cell>
        </row>
        <row r="186">
          <cell r="D186" t="str">
            <v>P587-95% A/g RA within 30Days &amp; Bal after 12Month</v>
          </cell>
        </row>
        <row r="187">
          <cell r="D187" t="str">
            <v>P588-100% against dispatch Document through Bank</v>
          </cell>
        </row>
        <row r="188">
          <cell r="D188" t="str">
            <v>P589-50% Advance Against CG &amp; 50% Against API</v>
          </cell>
        </row>
        <row r="189">
          <cell r="D189" t="str">
            <v>P590-90% within 30 days &amp; bal 10% agst CG</v>
          </cell>
        </row>
        <row r="190">
          <cell r="D190" t="str">
            <v>P591-10%Advance alongwith PO, 90%PI</v>
          </cell>
        </row>
        <row r="191">
          <cell r="D191" t="str">
            <v>P592-20% Advance, 80% API</v>
          </cell>
        </row>
        <row r="192">
          <cell r="D192" t="str">
            <v>P593-30% Ag.ABG,65% agt. PI,5%PBG</v>
          </cell>
        </row>
        <row r="193">
          <cell r="D193" t="str">
            <v>P594-10%Adv,10%D&amp;E,40%Prf,30%+100%T&amp;D,10%PBG</v>
          </cell>
        </row>
        <row r="194">
          <cell r="D194" t="str">
            <v>P595-20% Ad Ag BG &amp; 80% W/i 10 days from recpt &amp; accept</v>
          </cell>
        </row>
        <row r="195">
          <cell r="D195" t="str">
            <v>P596-100% within 30days agst monthly certified RA bills</v>
          </cell>
        </row>
        <row r="196">
          <cell r="D196" t="str">
            <v>P700-Balance 20% within 30days of receipt of material</v>
          </cell>
        </row>
        <row r="197">
          <cell r="D197" t="str">
            <v>P701-20% ADV &amp; 80% AGAINST COMPLETION</v>
          </cell>
        </row>
        <row r="198">
          <cell r="D198" t="str">
            <v>P702-25% ADV &amp; 75% AGAINST COMPLETION</v>
          </cell>
        </row>
        <row r="199">
          <cell r="D199" t="str">
            <v>P703-15% ABG, 75% PROOF OF DESPATCH &amp; 10% PBG</v>
          </cell>
        </row>
        <row r="200">
          <cell r="D200" t="str">
            <v>P704-10%ABG,80%30DAYCredit,5%PAT,5%FAT</v>
          </cell>
        </row>
        <row r="201">
          <cell r="D201" t="str">
            <v>P705-ABG60%30DAY10%Er10%Com10%PG</v>
          </cell>
        </row>
        <row r="202">
          <cell r="D202" t="str">
            <v>P706-15%Adv ABG,75% insp,10% PBG</v>
          </cell>
        </row>
        <row r="203">
          <cell r="D203" t="str">
            <v>P707-20%AdvABG,70%agt supMat,10%Suc.com ofPBG</v>
          </cell>
        </row>
        <row r="204">
          <cell r="D204" t="str">
            <v>P708-85%+100% taxes API,15%  agt Receipt Mat</v>
          </cell>
        </row>
        <row r="205">
          <cell r="D205" t="str">
            <v>P709-30%ABG,70%Agt Receipt of Mat</v>
          </cell>
        </row>
        <row r="206">
          <cell r="D206" t="str">
            <v>P710-60%Advance,40% at del. time</v>
          </cell>
        </row>
        <row r="207">
          <cell r="D207" t="str">
            <v>P711-50% ag del./ 50% ag inst.</v>
          </cell>
        </row>
      </sheetData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1.bin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2.bin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3.bin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4.bin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5.bin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6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7.bin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8.bin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9.bin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0.bin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1.bin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2.bin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3.bin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4.bin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5.bin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6.bin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7.bin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8.bin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9.bin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0.bin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1.bin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2.bin"/></Relationships>
</file>

<file path=xl/worksheets/_rels/sheet1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3.bin"/></Relationships>
</file>

<file path=xl/worksheets/_rels/sheet1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4.bin"/></Relationships>
</file>

<file path=xl/worksheets/_rels/sheet1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5.bin"/></Relationships>
</file>

<file path=xl/worksheets/_rels/sheet1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6.bin"/></Relationships>
</file>

<file path=xl/worksheets/_rels/sheet1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7.bin"/></Relationships>
</file>

<file path=xl/worksheets/_rels/sheet1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8.bin"/></Relationships>
</file>

<file path=xl/worksheets/_rels/sheet1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9.bin"/></Relationships>
</file>

<file path=xl/worksheets/_rels/sheet1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0.bin"/></Relationships>
</file>

<file path=xl/worksheets/_rels/sheet1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1.bin"/></Relationships>
</file>

<file path=xl/worksheets/_rels/sheet1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2.bin"/></Relationships>
</file>

<file path=xl/worksheets/_rels/sheet14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3.bin"/><Relationship Id="rId1" Type="http://schemas.openxmlformats.org/officeDocument/2006/relationships/hyperlink" Target="https://drive.google.com/file/d/1zpSjJGbH5p69eEar5fcllUH93tPJmrv0/view?usp=drive_link" TargetMode="External"/></Relationships>
</file>

<file path=xl/worksheets/_rels/sheet1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4.bin"/></Relationships>
</file>

<file path=xl/worksheets/_rels/sheet1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5.bin"/></Relationships>
</file>

<file path=xl/worksheets/_rels/sheet1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6.bin"/></Relationships>
</file>

<file path=xl/worksheets/_rels/sheet1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view="pageBreakPreview" topLeftCell="A14" zoomScaleSheetLayoutView="100" workbookViewId="0">
      <selection activeCell="D18" sqref="D18"/>
    </sheetView>
  </sheetViews>
  <sheetFormatPr defaultColWidth="9.140625" defaultRowHeight="12" x14ac:dyDescent="0.2"/>
  <cols>
    <col min="1" max="1" width="5.85546875" style="21" bestFit="1" customWidth="1"/>
    <col min="2" max="2" width="11.140625" style="21" customWidth="1"/>
    <col min="3" max="3" width="9.5703125" style="21" bestFit="1" customWidth="1"/>
    <col min="4" max="4" width="56.140625" style="21" customWidth="1"/>
    <col min="5" max="5" width="6.28515625" style="21" bestFit="1" customWidth="1"/>
    <col min="6" max="6" width="11.5703125" style="21" bestFit="1" customWidth="1"/>
    <col min="7" max="7" width="16.5703125" style="21" bestFit="1" customWidth="1"/>
    <col min="8" max="8" width="9.140625" style="19"/>
    <col min="9" max="9" width="10.5703125" style="27" bestFit="1" customWidth="1"/>
    <col min="10" max="10" width="21" style="21" customWidth="1"/>
    <col min="11" max="16384" width="9.140625" style="21"/>
  </cols>
  <sheetData>
    <row r="1" spans="1:11" ht="24" x14ac:dyDescent="0.2">
      <c r="A1" s="16" t="s">
        <v>0</v>
      </c>
      <c r="B1" s="16" t="s">
        <v>1</v>
      </c>
      <c r="C1" s="17" t="s">
        <v>5</v>
      </c>
      <c r="D1" s="17" t="s">
        <v>2</v>
      </c>
      <c r="E1" s="17" t="s">
        <v>68</v>
      </c>
      <c r="F1" s="18" t="s">
        <v>11</v>
      </c>
      <c r="G1" s="18" t="s">
        <v>12</v>
      </c>
      <c r="H1" s="19" t="s">
        <v>17</v>
      </c>
      <c r="I1" s="20" t="s">
        <v>10</v>
      </c>
      <c r="J1" s="21" t="s">
        <v>14</v>
      </c>
      <c r="K1" s="21" t="s">
        <v>49</v>
      </c>
    </row>
    <row r="2" spans="1:11" ht="48" x14ac:dyDescent="0.2">
      <c r="A2" s="22">
        <v>1</v>
      </c>
      <c r="B2" s="23" t="s">
        <v>45</v>
      </c>
      <c r="C2" s="23">
        <v>5108000003</v>
      </c>
      <c r="D2" s="24" t="s">
        <v>60</v>
      </c>
      <c r="E2" s="22">
        <v>1</v>
      </c>
      <c r="F2" s="25">
        <f>77*1.28*H2</f>
        <v>197120</v>
      </c>
      <c r="G2" s="26">
        <f t="shared" ref="G2:G9" si="0">F2*E2</f>
        <v>197120</v>
      </c>
      <c r="H2" s="30">
        <v>2000</v>
      </c>
      <c r="I2" s="27">
        <v>1950</v>
      </c>
      <c r="J2" s="28" t="s">
        <v>50</v>
      </c>
    </row>
    <row r="3" spans="1:11" ht="36" x14ac:dyDescent="0.2">
      <c r="A3" s="22">
        <v>2</v>
      </c>
      <c r="B3" s="23" t="s">
        <v>45</v>
      </c>
      <c r="C3" s="23">
        <v>5108000004</v>
      </c>
      <c r="D3" s="24" t="s">
        <v>61</v>
      </c>
      <c r="E3" s="22">
        <v>1</v>
      </c>
      <c r="F3" s="25">
        <f t="shared" ref="F3:F15" si="1">77*1.28*H3</f>
        <v>197120</v>
      </c>
      <c r="G3" s="26">
        <f t="shared" si="0"/>
        <v>197120</v>
      </c>
      <c r="H3" s="30">
        <v>2000</v>
      </c>
      <c r="I3" s="27">
        <v>1950</v>
      </c>
      <c r="J3" s="28" t="s">
        <v>50</v>
      </c>
    </row>
    <row r="4" spans="1:11" ht="48" x14ac:dyDescent="0.2">
      <c r="A4" s="22">
        <v>3</v>
      </c>
      <c r="B4" s="23" t="s">
        <v>45</v>
      </c>
      <c r="C4" s="23">
        <v>5108000005</v>
      </c>
      <c r="D4" s="24" t="s">
        <v>62</v>
      </c>
      <c r="E4" s="22">
        <v>1</v>
      </c>
      <c r="F4" s="25">
        <f t="shared" si="1"/>
        <v>197120</v>
      </c>
      <c r="G4" s="26">
        <f t="shared" si="0"/>
        <v>197120</v>
      </c>
      <c r="H4" s="30">
        <v>2000</v>
      </c>
      <c r="I4" s="27">
        <v>1950</v>
      </c>
      <c r="J4" s="19"/>
    </row>
    <row r="5" spans="1:11" ht="48" x14ac:dyDescent="0.2">
      <c r="A5" s="22">
        <v>4</v>
      </c>
      <c r="B5" s="23" t="s">
        <v>45</v>
      </c>
      <c r="C5" s="23">
        <v>5108000017</v>
      </c>
      <c r="D5" s="24" t="s">
        <v>63</v>
      </c>
      <c r="E5" s="22">
        <v>4</v>
      </c>
      <c r="F5" s="25">
        <f t="shared" si="1"/>
        <v>98560</v>
      </c>
      <c r="G5" s="26">
        <f t="shared" si="0"/>
        <v>394240</v>
      </c>
      <c r="H5" s="30">
        <v>1000</v>
      </c>
      <c r="I5" s="27">
        <v>950</v>
      </c>
      <c r="J5" s="29"/>
    </row>
    <row r="6" spans="1:11" ht="48" x14ac:dyDescent="0.2">
      <c r="A6" s="22">
        <v>5</v>
      </c>
      <c r="B6" s="23" t="s">
        <v>45</v>
      </c>
      <c r="C6" s="23">
        <v>5108000018</v>
      </c>
      <c r="D6" s="24" t="s">
        <v>64</v>
      </c>
      <c r="E6" s="22">
        <v>4</v>
      </c>
      <c r="F6" s="25">
        <f t="shared" si="1"/>
        <v>98560</v>
      </c>
      <c r="G6" s="26">
        <f t="shared" si="0"/>
        <v>394240</v>
      </c>
      <c r="H6" s="30">
        <v>1000</v>
      </c>
      <c r="I6" s="27">
        <v>950</v>
      </c>
      <c r="J6" s="29"/>
    </row>
    <row r="7" spans="1:11" ht="48" x14ac:dyDescent="0.2">
      <c r="A7" s="22">
        <v>6</v>
      </c>
      <c r="B7" s="23" t="s">
        <v>45</v>
      </c>
      <c r="C7" s="23">
        <v>5108000019</v>
      </c>
      <c r="D7" s="24" t="s">
        <v>65</v>
      </c>
      <c r="E7" s="22">
        <v>4</v>
      </c>
      <c r="F7" s="25">
        <f t="shared" si="1"/>
        <v>98560</v>
      </c>
      <c r="G7" s="26">
        <f t="shared" si="0"/>
        <v>394240</v>
      </c>
      <c r="H7" s="30">
        <v>1000</v>
      </c>
      <c r="I7" s="27">
        <v>950</v>
      </c>
      <c r="J7" s="29"/>
    </row>
    <row r="8" spans="1:11" ht="48" x14ac:dyDescent="0.2">
      <c r="A8" s="22">
        <v>7</v>
      </c>
      <c r="B8" s="23" t="s">
        <v>45</v>
      </c>
      <c r="C8" s="23">
        <v>5108000020</v>
      </c>
      <c r="D8" s="24" t="s">
        <v>66</v>
      </c>
      <c r="E8" s="22">
        <v>3</v>
      </c>
      <c r="F8" s="25">
        <f t="shared" si="1"/>
        <v>27104</v>
      </c>
      <c r="G8" s="26">
        <f t="shared" si="0"/>
        <v>81312</v>
      </c>
      <c r="H8" s="30">
        <v>275</v>
      </c>
      <c r="I8" s="27">
        <v>275</v>
      </c>
      <c r="J8" s="19"/>
    </row>
    <row r="9" spans="1:11" ht="48" x14ac:dyDescent="0.2">
      <c r="A9" s="22">
        <v>8</v>
      </c>
      <c r="B9" s="23" t="s">
        <v>45</v>
      </c>
      <c r="C9" s="23">
        <v>5108000021</v>
      </c>
      <c r="D9" s="24" t="s">
        <v>19</v>
      </c>
      <c r="E9" s="22">
        <v>3</v>
      </c>
      <c r="F9" s="25">
        <f t="shared" si="1"/>
        <v>36960</v>
      </c>
      <c r="G9" s="26">
        <f t="shared" si="0"/>
        <v>110880</v>
      </c>
      <c r="H9" s="30">
        <v>375</v>
      </c>
      <c r="I9" s="27">
        <v>375</v>
      </c>
      <c r="J9" s="29"/>
    </row>
    <row r="10" spans="1:11" ht="48" x14ac:dyDescent="0.2">
      <c r="A10" s="22">
        <v>9</v>
      </c>
      <c r="B10" s="23" t="s">
        <v>45</v>
      </c>
      <c r="C10" s="23">
        <v>5108000022</v>
      </c>
      <c r="D10" s="24" t="s">
        <v>67</v>
      </c>
      <c r="E10" s="22">
        <v>3</v>
      </c>
      <c r="F10" s="25">
        <f t="shared" si="1"/>
        <v>27104</v>
      </c>
      <c r="G10" s="26">
        <f t="shared" ref="G10:G14" si="2">F10*E10</f>
        <v>81312</v>
      </c>
      <c r="H10" s="30">
        <v>275</v>
      </c>
      <c r="I10" s="27">
        <v>275</v>
      </c>
      <c r="J10" s="19"/>
    </row>
    <row r="11" spans="1:11" ht="60" x14ac:dyDescent="0.2">
      <c r="A11" s="22">
        <v>10</v>
      </c>
      <c r="B11" s="23" t="s">
        <v>45</v>
      </c>
      <c r="C11" s="23">
        <v>5108000023</v>
      </c>
      <c r="D11" s="24" t="s">
        <v>20</v>
      </c>
      <c r="E11" s="22">
        <v>3</v>
      </c>
      <c r="F11" s="25">
        <f t="shared" si="1"/>
        <v>36960</v>
      </c>
      <c r="G11" s="26">
        <f t="shared" si="2"/>
        <v>110880</v>
      </c>
      <c r="H11" s="30">
        <v>375</v>
      </c>
      <c r="I11" s="27">
        <v>375</v>
      </c>
      <c r="J11" s="29"/>
    </row>
    <row r="12" spans="1:11" ht="24" x14ac:dyDescent="0.2">
      <c r="A12" s="16" t="s">
        <v>0</v>
      </c>
      <c r="B12" s="16" t="s">
        <v>1</v>
      </c>
      <c r="C12" s="17" t="s">
        <v>5</v>
      </c>
      <c r="D12" s="17" t="s">
        <v>2</v>
      </c>
      <c r="E12" s="17" t="s">
        <v>68</v>
      </c>
      <c r="F12" s="18" t="s">
        <v>11</v>
      </c>
      <c r="G12" s="18" t="s">
        <v>12</v>
      </c>
      <c r="H12" s="30" t="s">
        <v>10</v>
      </c>
      <c r="I12" s="20" t="s">
        <v>10</v>
      </c>
      <c r="J12" s="21" t="s">
        <v>14</v>
      </c>
      <c r="K12" s="21" t="s">
        <v>49</v>
      </c>
    </row>
    <row r="13" spans="1:11" ht="24" x14ac:dyDescent="0.2">
      <c r="A13" s="22">
        <v>11</v>
      </c>
      <c r="B13" s="23" t="s">
        <v>45</v>
      </c>
      <c r="C13" s="23">
        <v>5102000018</v>
      </c>
      <c r="D13" s="24" t="s">
        <v>46</v>
      </c>
      <c r="E13" s="22">
        <v>4</v>
      </c>
      <c r="F13" s="25">
        <f t="shared" si="1"/>
        <v>24640</v>
      </c>
      <c r="G13" s="26">
        <f t="shared" si="2"/>
        <v>98560</v>
      </c>
      <c r="H13" s="30">
        <v>250</v>
      </c>
      <c r="I13" s="27">
        <v>250</v>
      </c>
      <c r="J13" s="30" t="s">
        <v>57</v>
      </c>
    </row>
    <row r="14" spans="1:11" ht="36" x14ac:dyDescent="0.2">
      <c r="A14" s="22">
        <v>12</v>
      </c>
      <c r="B14" s="23" t="s">
        <v>47</v>
      </c>
      <c r="C14" s="23">
        <v>5603000009</v>
      </c>
      <c r="D14" s="24" t="s">
        <v>21</v>
      </c>
      <c r="E14" s="22">
        <v>4</v>
      </c>
      <c r="F14" s="25">
        <f t="shared" si="1"/>
        <v>57164.800000000003</v>
      </c>
      <c r="G14" s="26">
        <f t="shared" si="2"/>
        <v>228659.20000000001</v>
      </c>
      <c r="H14" s="30">
        <v>580</v>
      </c>
      <c r="I14" s="27">
        <v>580</v>
      </c>
      <c r="J14" s="28" t="s">
        <v>56</v>
      </c>
    </row>
    <row r="15" spans="1:11" ht="24" x14ac:dyDescent="0.2">
      <c r="A15" s="22">
        <v>13</v>
      </c>
      <c r="B15" s="23" t="s">
        <v>47</v>
      </c>
      <c r="C15" s="23">
        <v>5604000030</v>
      </c>
      <c r="D15" s="24" t="s">
        <v>18</v>
      </c>
      <c r="E15" s="22">
        <v>2</v>
      </c>
      <c r="F15" s="25">
        <f t="shared" si="1"/>
        <v>42380.800000000003</v>
      </c>
      <c r="G15" s="26">
        <f t="shared" ref="G15" si="3">F15*E15</f>
        <v>84761.600000000006</v>
      </c>
      <c r="H15" s="30">
        <v>430</v>
      </c>
      <c r="I15" s="27">
        <v>430</v>
      </c>
      <c r="J15" s="19" t="s">
        <v>58</v>
      </c>
    </row>
    <row r="16" spans="1:11" ht="24" x14ac:dyDescent="0.2">
      <c r="A16" s="22">
        <v>14</v>
      </c>
      <c r="B16" s="23" t="s">
        <v>48</v>
      </c>
      <c r="C16" s="23">
        <v>5307000022</v>
      </c>
      <c r="D16" s="24" t="s">
        <v>22</v>
      </c>
      <c r="E16" s="22">
        <v>100</v>
      </c>
      <c r="F16" s="31" t="s">
        <v>72</v>
      </c>
      <c r="G16" s="26">
        <v>0</v>
      </c>
      <c r="H16" s="30">
        <v>0</v>
      </c>
      <c r="J16" s="29"/>
    </row>
    <row r="17" spans="1:10" ht="48" x14ac:dyDescent="0.2">
      <c r="A17" s="22">
        <v>15</v>
      </c>
      <c r="B17" s="23" t="s">
        <v>48</v>
      </c>
      <c r="C17" s="23">
        <v>5207000001</v>
      </c>
      <c r="D17" s="24" t="s">
        <v>24</v>
      </c>
      <c r="E17" s="22">
        <v>20</v>
      </c>
      <c r="F17" s="31" t="s">
        <v>73</v>
      </c>
      <c r="G17" s="26">
        <v>0</v>
      </c>
      <c r="H17" s="30">
        <v>0</v>
      </c>
      <c r="J17" s="19"/>
    </row>
    <row r="18" spans="1:10" ht="36" x14ac:dyDescent="0.2">
      <c r="A18" s="22">
        <v>16</v>
      </c>
      <c r="B18" s="23" t="s">
        <v>48</v>
      </c>
      <c r="C18" s="23">
        <v>5201020005</v>
      </c>
      <c r="D18" s="24" t="s">
        <v>23</v>
      </c>
      <c r="E18" s="22">
        <v>10</v>
      </c>
      <c r="F18" s="25">
        <f t="shared" ref="F18" si="4">77*1.28*H18</f>
        <v>52236.800000000003</v>
      </c>
      <c r="G18" s="26">
        <f t="shared" ref="G18" si="5">F18*E18</f>
        <v>522368</v>
      </c>
      <c r="H18" s="30">
        <v>530</v>
      </c>
      <c r="I18" s="27">
        <v>530</v>
      </c>
      <c r="J18" s="29" t="s">
        <v>71</v>
      </c>
    </row>
    <row r="19" spans="1:10" x14ac:dyDescent="0.2">
      <c r="A19" s="22">
        <v>17</v>
      </c>
      <c r="B19" s="321" t="s">
        <v>7</v>
      </c>
      <c r="C19" s="321"/>
      <c r="D19" s="321"/>
      <c r="E19" s="321"/>
      <c r="F19" s="321"/>
      <c r="G19" s="32">
        <f>SUM(G2:G18)</f>
        <v>3092812.8000000003</v>
      </c>
    </row>
    <row r="20" spans="1:10" x14ac:dyDescent="0.2">
      <c r="A20" s="22">
        <v>18</v>
      </c>
      <c r="B20" s="321" t="s">
        <v>15</v>
      </c>
      <c r="C20" s="321"/>
      <c r="D20" s="321"/>
      <c r="E20" s="321"/>
      <c r="F20" s="321"/>
      <c r="G20" s="32">
        <f>G19*18%</f>
        <v>556706.304</v>
      </c>
    </row>
    <row r="21" spans="1:10" x14ac:dyDescent="0.2">
      <c r="A21" s="22">
        <v>20</v>
      </c>
      <c r="B21" s="321" t="s">
        <v>8</v>
      </c>
      <c r="C21" s="321"/>
      <c r="D21" s="321"/>
      <c r="E21" s="321"/>
      <c r="F21" s="321"/>
      <c r="G21" s="32">
        <f>G20+G19</f>
        <v>3649519.1040000003</v>
      </c>
    </row>
    <row r="22" spans="1:10" x14ac:dyDescent="0.2">
      <c r="A22" s="322"/>
      <c r="B22" s="323"/>
      <c r="C22" s="323"/>
      <c r="D22" s="323"/>
      <c r="E22" s="323"/>
      <c r="F22" s="323"/>
      <c r="G22" s="324"/>
    </row>
    <row r="23" spans="1:10" ht="146.25" customHeight="1" x14ac:dyDescent="0.2">
      <c r="A23" s="33" t="s">
        <v>9</v>
      </c>
      <c r="B23" s="319" t="s">
        <v>69</v>
      </c>
      <c r="C23" s="319"/>
      <c r="D23" s="319"/>
      <c r="E23" s="319"/>
      <c r="F23" s="319"/>
      <c r="G23" s="320"/>
    </row>
  </sheetData>
  <mergeCells count="5">
    <mergeCell ref="B23:G23"/>
    <mergeCell ref="B19:F19"/>
    <mergeCell ref="B20:F20"/>
    <mergeCell ref="B21:F21"/>
    <mergeCell ref="A22:G22"/>
  </mergeCells>
  <printOptions horizontalCentered="1"/>
  <pageMargins left="0.25" right="0.25" top="0.5" bottom="0.5" header="0.3" footer="0.05"/>
  <pageSetup orientation="landscape" horizontalDpi="4294967292" r:id="rId1"/>
  <rowBreaks count="1" manualBreakCount="1">
    <brk id="21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7"/>
  <sheetViews>
    <sheetView view="pageBreakPreview" topLeftCell="A16" zoomScaleSheetLayoutView="100" workbookViewId="0">
      <selection activeCell="A19" sqref="A19:G25"/>
    </sheetView>
  </sheetViews>
  <sheetFormatPr defaultColWidth="9.140625" defaultRowHeight="12" x14ac:dyDescent="0.2"/>
  <cols>
    <col min="1" max="1" width="5.85546875" style="21" bestFit="1" customWidth="1"/>
    <col min="2" max="2" width="12.5703125" style="21" customWidth="1"/>
    <col min="3" max="3" width="11" style="21" bestFit="1" customWidth="1"/>
    <col min="4" max="4" width="56.140625" style="21" customWidth="1"/>
    <col min="5" max="5" width="6.28515625" style="21" bestFit="1" customWidth="1"/>
    <col min="6" max="6" width="11.5703125" style="37" bestFit="1" customWidth="1"/>
    <col min="7" max="7" width="16.5703125" style="37" bestFit="1" customWidth="1"/>
    <col min="8" max="8" width="9.140625" style="19"/>
    <col min="9" max="9" width="10.5703125" style="27" bestFit="1" customWidth="1"/>
    <col min="10" max="10" width="13.28515625" style="21" bestFit="1" customWidth="1"/>
    <col min="11" max="16384" width="9.140625" style="21"/>
  </cols>
  <sheetData>
    <row r="1" spans="1:11" ht="24" x14ac:dyDescent="0.2">
      <c r="A1" s="16" t="s">
        <v>0</v>
      </c>
      <c r="B1" s="16" t="s">
        <v>1</v>
      </c>
      <c r="C1" s="17" t="s">
        <v>5</v>
      </c>
      <c r="D1" s="17" t="s">
        <v>2</v>
      </c>
      <c r="E1" s="17" t="s">
        <v>68</v>
      </c>
      <c r="F1" s="34" t="s">
        <v>11</v>
      </c>
      <c r="G1" s="34" t="s">
        <v>12</v>
      </c>
      <c r="H1" s="19" t="s">
        <v>17</v>
      </c>
      <c r="I1" s="20" t="s">
        <v>10</v>
      </c>
      <c r="J1" s="21" t="s">
        <v>14</v>
      </c>
      <c r="K1" s="21" t="s">
        <v>16</v>
      </c>
    </row>
    <row r="2" spans="1:11" ht="24" x14ac:dyDescent="0.2">
      <c r="A2" s="22">
        <v>1</v>
      </c>
      <c r="B2" s="23" t="s">
        <v>59</v>
      </c>
      <c r="C2" s="23">
        <v>5209990076</v>
      </c>
      <c r="D2" s="24" t="s">
        <v>25</v>
      </c>
      <c r="E2" s="22">
        <v>20</v>
      </c>
      <c r="F2" s="35">
        <f>77*1.3*H2</f>
        <v>2702.7000000000003</v>
      </c>
      <c r="G2" s="36">
        <f t="shared" ref="G2:G22" si="0">F2*E2</f>
        <v>54054.000000000007</v>
      </c>
      <c r="H2" s="19">
        <v>27</v>
      </c>
      <c r="I2" s="27">
        <v>25</v>
      </c>
      <c r="J2" s="19">
        <v>10</v>
      </c>
    </row>
    <row r="3" spans="1:11" ht="24" x14ac:dyDescent="0.2">
      <c r="A3" s="22">
        <v>2</v>
      </c>
      <c r="B3" s="23" t="s">
        <v>59</v>
      </c>
      <c r="C3" s="23">
        <v>5209990077</v>
      </c>
      <c r="D3" s="24" t="s">
        <v>26</v>
      </c>
      <c r="E3" s="22">
        <v>30</v>
      </c>
      <c r="F3" s="35">
        <f t="shared" ref="F3:F5" si="1">77*1.3*H3</f>
        <v>2902.9</v>
      </c>
      <c r="G3" s="36">
        <f t="shared" si="0"/>
        <v>87087</v>
      </c>
      <c r="H3" s="19">
        <v>29</v>
      </c>
      <c r="I3" s="27">
        <v>28</v>
      </c>
      <c r="J3" s="29">
        <v>10</v>
      </c>
    </row>
    <row r="4" spans="1:11" ht="24" x14ac:dyDescent="0.2">
      <c r="A4" s="22">
        <v>3</v>
      </c>
      <c r="B4" s="23" t="s">
        <v>59</v>
      </c>
      <c r="C4" s="23">
        <v>5209990078</v>
      </c>
      <c r="D4" s="24" t="s">
        <v>27</v>
      </c>
      <c r="E4" s="22">
        <v>30</v>
      </c>
      <c r="F4" s="35">
        <f t="shared" si="1"/>
        <v>3203.2000000000003</v>
      </c>
      <c r="G4" s="36">
        <f t="shared" si="0"/>
        <v>96096.000000000015</v>
      </c>
      <c r="H4" s="19">
        <v>32</v>
      </c>
      <c r="I4" s="27">
        <v>28</v>
      </c>
      <c r="J4" s="19">
        <v>12</v>
      </c>
    </row>
    <row r="5" spans="1:11" ht="24" x14ac:dyDescent="0.2">
      <c r="A5" s="22">
        <v>4</v>
      </c>
      <c r="B5" s="23" t="s">
        <v>59</v>
      </c>
      <c r="C5" s="23">
        <v>5209990079</v>
      </c>
      <c r="D5" s="24" t="s">
        <v>28</v>
      </c>
      <c r="E5" s="22">
        <v>20</v>
      </c>
      <c r="F5" s="35">
        <f t="shared" si="1"/>
        <v>4804.8</v>
      </c>
      <c r="G5" s="36">
        <f t="shared" si="0"/>
        <v>96096</v>
      </c>
      <c r="H5" s="19">
        <v>48</v>
      </c>
      <c r="I5" s="27">
        <v>45</v>
      </c>
      <c r="J5" s="29">
        <v>15</v>
      </c>
    </row>
    <row r="6" spans="1:11" ht="24" x14ac:dyDescent="0.2">
      <c r="A6" s="22">
        <v>5</v>
      </c>
      <c r="B6" s="23" t="s">
        <v>59</v>
      </c>
      <c r="C6" s="23">
        <v>5209990080</v>
      </c>
      <c r="D6" s="24" t="s">
        <v>29</v>
      </c>
      <c r="E6" s="22">
        <v>10</v>
      </c>
      <c r="F6" s="325" t="s">
        <v>53</v>
      </c>
      <c r="G6" s="36">
        <v>0</v>
      </c>
      <c r="J6" s="29">
        <v>20</v>
      </c>
    </row>
    <row r="7" spans="1:11" ht="24" x14ac:dyDescent="0.2">
      <c r="A7" s="22">
        <v>6</v>
      </c>
      <c r="B7" s="23" t="s">
        <v>59</v>
      </c>
      <c r="C7" s="23">
        <v>5209990081</v>
      </c>
      <c r="D7" s="24" t="s">
        <v>30</v>
      </c>
      <c r="E7" s="22">
        <v>20</v>
      </c>
      <c r="F7" s="326"/>
      <c r="G7" s="36">
        <v>0</v>
      </c>
      <c r="J7" s="29">
        <v>20</v>
      </c>
    </row>
    <row r="8" spans="1:11" ht="24" x14ac:dyDescent="0.2">
      <c r="A8" s="22">
        <v>7</v>
      </c>
      <c r="B8" s="23" t="s">
        <v>59</v>
      </c>
      <c r="C8" s="23">
        <v>5209990082</v>
      </c>
      <c r="D8" s="24" t="s">
        <v>31</v>
      </c>
      <c r="E8" s="22">
        <v>20</v>
      </c>
      <c r="F8" s="326"/>
      <c r="G8" s="36">
        <v>0</v>
      </c>
      <c r="J8" s="19">
        <v>20</v>
      </c>
    </row>
    <row r="9" spans="1:11" ht="24" x14ac:dyDescent="0.2">
      <c r="A9" s="22">
        <v>8</v>
      </c>
      <c r="B9" s="23" t="s">
        <v>59</v>
      </c>
      <c r="C9" s="23">
        <v>5209990083</v>
      </c>
      <c r="D9" s="24" t="s">
        <v>32</v>
      </c>
      <c r="E9" s="22">
        <v>20</v>
      </c>
      <c r="F9" s="327"/>
      <c r="G9" s="36">
        <v>0</v>
      </c>
      <c r="J9" s="29">
        <v>25</v>
      </c>
    </row>
    <row r="10" spans="1:11" ht="24" x14ac:dyDescent="0.2">
      <c r="A10" s="22">
        <v>9</v>
      </c>
      <c r="B10" s="23" t="s">
        <v>59</v>
      </c>
      <c r="C10" s="23">
        <v>5209990084</v>
      </c>
      <c r="D10" s="24" t="s">
        <v>33</v>
      </c>
      <c r="E10" s="22">
        <v>50</v>
      </c>
      <c r="F10" s="35">
        <f t="shared" ref="F10:F22" si="2">77*1.3*H10</f>
        <v>700.7</v>
      </c>
      <c r="G10" s="36">
        <f t="shared" si="0"/>
        <v>35035</v>
      </c>
      <c r="H10" s="19">
        <v>7</v>
      </c>
      <c r="I10" s="27">
        <v>5.7</v>
      </c>
      <c r="J10" s="19">
        <v>7</v>
      </c>
      <c r="K10" s="21" t="s">
        <v>16</v>
      </c>
    </row>
    <row r="11" spans="1:11" ht="24" x14ac:dyDescent="0.2">
      <c r="A11" s="22">
        <v>10</v>
      </c>
      <c r="B11" s="23" t="s">
        <v>59</v>
      </c>
      <c r="C11" s="23">
        <v>5209990085</v>
      </c>
      <c r="D11" s="24" t="s">
        <v>34</v>
      </c>
      <c r="E11" s="22">
        <v>30</v>
      </c>
      <c r="F11" s="35">
        <f t="shared" si="2"/>
        <v>700.7</v>
      </c>
      <c r="G11" s="36">
        <f t="shared" si="0"/>
        <v>21021</v>
      </c>
      <c r="H11" s="19">
        <v>7</v>
      </c>
      <c r="I11" s="27">
        <v>5.7</v>
      </c>
      <c r="J11" s="29">
        <v>7</v>
      </c>
      <c r="K11" s="21" t="s">
        <v>16</v>
      </c>
    </row>
    <row r="12" spans="1:11" ht="24" x14ac:dyDescent="0.2">
      <c r="A12" s="22">
        <v>11</v>
      </c>
      <c r="B12" s="23" t="s">
        <v>59</v>
      </c>
      <c r="C12" s="23">
        <v>5209990086</v>
      </c>
      <c r="D12" s="24" t="s">
        <v>35</v>
      </c>
      <c r="E12" s="22">
        <v>50</v>
      </c>
      <c r="F12" s="35">
        <f t="shared" si="2"/>
        <v>200.20000000000002</v>
      </c>
      <c r="G12" s="36">
        <f t="shared" ref="G12:G15" si="3">F12*E12</f>
        <v>10010</v>
      </c>
      <c r="H12" s="19">
        <v>2</v>
      </c>
      <c r="I12" s="27">
        <v>1.5</v>
      </c>
      <c r="J12" s="19">
        <v>2.5</v>
      </c>
    </row>
    <row r="13" spans="1:11" ht="24" x14ac:dyDescent="0.2">
      <c r="A13" s="22">
        <v>12</v>
      </c>
      <c r="B13" s="23" t="s">
        <v>59</v>
      </c>
      <c r="C13" s="23">
        <v>5209990087</v>
      </c>
      <c r="D13" s="24" t="s">
        <v>36</v>
      </c>
      <c r="E13" s="22">
        <v>50</v>
      </c>
      <c r="F13" s="35">
        <f t="shared" si="2"/>
        <v>200.20000000000002</v>
      </c>
      <c r="G13" s="36">
        <f t="shared" si="3"/>
        <v>10010</v>
      </c>
      <c r="H13" s="29">
        <v>2</v>
      </c>
      <c r="I13" s="27">
        <v>1.5</v>
      </c>
      <c r="J13" s="29">
        <v>2.6</v>
      </c>
    </row>
    <row r="14" spans="1:11" ht="24" x14ac:dyDescent="0.2">
      <c r="A14" s="22">
        <v>13</v>
      </c>
      <c r="B14" s="23" t="s">
        <v>59</v>
      </c>
      <c r="C14" s="23">
        <v>5209990088</v>
      </c>
      <c r="D14" s="24" t="s">
        <v>37</v>
      </c>
      <c r="E14" s="22">
        <v>50</v>
      </c>
      <c r="F14" s="35">
        <f t="shared" si="2"/>
        <v>200.20000000000002</v>
      </c>
      <c r="G14" s="36">
        <f t="shared" si="3"/>
        <v>10010</v>
      </c>
      <c r="H14" s="19">
        <v>2</v>
      </c>
      <c r="I14" s="27">
        <v>1.5</v>
      </c>
      <c r="J14" s="19">
        <v>2.7</v>
      </c>
    </row>
    <row r="15" spans="1:11" ht="24" x14ac:dyDescent="0.2">
      <c r="A15" s="22">
        <v>14</v>
      </c>
      <c r="B15" s="23" t="s">
        <v>59</v>
      </c>
      <c r="C15" s="23">
        <v>5209990089</v>
      </c>
      <c r="D15" s="24" t="s">
        <v>38</v>
      </c>
      <c r="E15" s="22">
        <v>50</v>
      </c>
      <c r="F15" s="35">
        <f t="shared" si="2"/>
        <v>200.20000000000002</v>
      </c>
      <c r="G15" s="36">
        <f t="shared" si="3"/>
        <v>10010</v>
      </c>
      <c r="H15" s="29">
        <v>2</v>
      </c>
      <c r="I15" s="27">
        <v>1.5</v>
      </c>
      <c r="J15" s="29">
        <v>2.8</v>
      </c>
    </row>
    <row r="16" spans="1:11" ht="24" x14ac:dyDescent="0.2">
      <c r="A16" s="22">
        <v>15</v>
      </c>
      <c r="B16" s="23" t="s">
        <v>59</v>
      </c>
      <c r="C16" s="23">
        <v>5209990090</v>
      </c>
      <c r="D16" s="24" t="s">
        <v>39</v>
      </c>
      <c r="E16" s="22">
        <v>50</v>
      </c>
      <c r="F16" s="35">
        <f t="shared" si="2"/>
        <v>200.20000000000002</v>
      </c>
      <c r="G16" s="36">
        <f t="shared" si="0"/>
        <v>10010</v>
      </c>
      <c r="H16" s="19">
        <v>2</v>
      </c>
      <c r="I16" s="27">
        <v>1.5</v>
      </c>
      <c r="J16" s="19">
        <v>2.9</v>
      </c>
    </row>
    <row r="17" spans="1:11" ht="24" x14ac:dyDescent="0.2">
      <c r="A17" s="22">
        <v>16</v>
      </c>
      <c r="B17" s="23" t="s">
        <v>59</v>
      </c>
      <c r="C17" s="23">
        <v>5209990091</v>
      </c>
      <c r="D17" s="24" t="s">
        <v>40</v>
      </c>
      <c r="E17" s="22">
        <v>50</v>
      </c>
      <c r="F17" s="35">
        <f t="shared" si="2"/>
        <v>250.25000000000003</v>
      </c>
      <c r="G17" s="36">
        <f t="shared" si="0"/>
        <v>12512.500000000002</v>
      </c>
      <c r="H17" s="29">
        <v>2.5</v>
      </c>
      <c r="I17" s="27">
        <v>1.75</v>
      </c>
      <c r="J17" s="29">
        <v>3</v>
      </c>
    </row>
    <row r="18" spans="1:11" ht="24" x14ac:dyDescent="0.2">
      <c r="A18" s="22">
        <v>17</v>
      </c>
      <c r="B18" s="23" t="s">
        <v>59</v>
      </c>
      <c r="C18" s="23">
        <v>5209990092</v>
      </c>
      <c r="D18" s="24" t="s">
        <v>41</v>
      </c>
      <c r="E18" s="22">
        <v>50</v>
      </c>
      <c r="F18" s="35">
        <f t="shared" si="2"/>
        <v>310.31000000000006</v>
      </c>
      <c r="G18" s="36">
        <f t="shared" si="0"/>
        <v>15515.500000000004</v>
      </c>
      <c r="H18" s="19">
        <v>3.1</v>
      </c>
      <c r="I18" s="27">
        <v>2</v>
      </c>
      <c r="J18" s="19">
        <v>3.1</v>
      </c>
    </row>
    <row r="19" spans="1:11" ht="24" x14ac:dyDescent="0.2">
      <c r="A19" s="16" t="s">
        <v>0</v>
      </c>
      <c r="B19" s="16" t="s">
        <v>1</v>
      </c>
      <c r="C19" s="17" t="s">
        <v>5</v>
      </c>
      <c r="D19" s="17" t="s">
        <v>2</v>
      </c>
      <c r="E19" s="17" t="s">
        <v>68</v>
      </c>
      <c r="F19" s="34" t="s">
        <v>11</v>
      </c>
      <c r="G19" s="34" t="s">
        <v>12</v>
      </c>
      <c r="H19" s="19" t="s">
        <v>17</v>
      </c>
      <c r="I19" s="20" t="s">
        <v>10</v>
      </c>
      <c r="J19" s="21" t="s">
        <v>14</v>
      </c>
      <c r="K19" s="21" t="s">
        <v>16</v>
      </c>
    </row>
    <row r="20" spans="1:11" ht="24" x14ac:dyDescent="0.2">
      <c r="A20" s="22">
        <v>18</v>
      </c>
      <c r="B20" s="23" t="s">
        <v>59</v>
      </c>
      <c r="C20" s="23">
        <v>5209990093</v>
      </c>
      <c r="D20" s="24" t="s">
        <v>42</v>
      </c>
      <c r="E20" s="22">
        <v>20</v>
      </c>
      <c r="F20" s="35">
        <f t="shared" si="2"/>
        <v>1601.6000000000001</v>
      </c>
      <c r="G20" s="36">
        <f t="shared" si="0"/>
        <v>32032.000000000004</v>
      </c>
      <c r="H20" s="19">
        <v>16</v>
      </c>
      <c r="I20" s="27">
        <v>11</v>
      </c>
      <c r="J20" s="29">
        <v>35</v>
      </c>
    </row>
    <row r="21" spans="1:11" ht="24" x14ac:dyDescent="0.2">
      <c r="A21" s="22">
        <v>19</v>
      </c>
      <c r="B21" s="23" t="s">
        <v>59</v>
      </c>
      <c r="C21" s="23">
        <v>5209990094</v>
      </c>
      <c r="D21" s="24" t="s">
        <v>43</v>
      </c>
      <c r="E21" s="22">
        <v>20</v>
      </c>
      <c r="F21" s="35">
        <f t="shared" si="2"/>
        <v>1101.1000000000001</v>
      </c>
      <c r="G21" s="36">
        <f t="shared" si="0"/>
        <v>22022.000000000004</v>
      </c>
      <c r="H21" s="19">
        <v>11</v>
      </c>
      <c r="I21" s="27">
        <v>5.5</v>
      </c>
      <c r="J21" s="19">
        <v>40</v>
      </c>
    </row>
    <row r="22" spans="1:11" ht="24" x14ac:dyDescent="0.2">
      <c r="A22" s="22">
        <v>20</v>
      </c>
      <c r="B22" s="23" t="s">
        <v>59</v>
      </c>
      <c r="C22" s="23">
        <v>5209990095</v>
      </c>
      <c r="D22" s="24" t="s">
        <v>44</v>
      </c>
      <c r="E22" s="22">
        <v>20</v>
      </c>
      <c r="F22" s="35">
        <f t="shared" si="2"/>
        <v>1701.7</v>
      </c>
      <c r="G22" s="36">
        <f t="shared" si="0"/>
        <v>34034</v>
      </c>
      <c r="H22" s="19">
        <v>17</v>
      </c>
      <c r="I22" s="27">
        <v>12</v>
      </c>
      <c r="J22" s="29">
        <v>45</v>
      </c>
    </row>
    <row r="23" spans="1:11" x14ac:dyDescent="0.2">
      <c r="A23" s="22">
        <v>21</v>
      </c>
      <c r="B23" s="328" t="s">
        <v>7</v>
      </c>
      <c r="C23" s="328"/>
      <c r="D23" s="328"/>
      <c r="E23" s="328"/>
      <c r="F23" s="328"/>
      <c r="G23" s="36">
        <f>SUM(G2:G22)</f>
        <v>555555</v>
      </c>
    </row>
    <row r="24" spans="1:11" x14ac:dyDescent="0.2">
      <c r="A24" s="22">
        <v>22</v>
      </c>
      <c r="B24" s="328" t="s">
        <v>51</v>
      </c>
      <c r="C24" s="328"/>
      <c r="D24" s="328"/>
      <c r="E24" s="328"/>
      <c r="F24" s="328"/>
      <c r="G24" s="36">
        <f>G23*18%</f>
        <v>99999.9</v>
      </c>
    </row>
    <row r="25" spans="1:11" x14ac:dyDescent="0.2">
      <c r="A25" s="22">
        <v>23</v>
      </c>
      <c r="B25" s="328" t="s">
        <v>8</v>
      </c>
      <c r="C25" s="328"/>
      <c r="D25" s="328"/>
      <c r="E25" s="328"/>
      <c r="F25" s="328"/>
      <c r="G25" s="36">
        <f>G24+G23</f>
        <v>655554.9</v>
      </c>
    </row>
    <row r="26" spans="1:11" x14ac:dyDescent="0.2">
      <c r="A26" s="322"/>
      <c r="B26" s="323"/>
      <c r="C26" s="323"/>
      <c r="D26" s="323"/>
      <c r="E26" s="323"/>
      <c r="F26" s="323"/>
      <c r="G26" s="324"/>
    </row>
    <row r="27" spans="1:11" ht="146.25" customHeight="1" x14ac:dyDescent="0.2">
      <c r="A27" s="33" t="s">
        <v>9</v>
      </c>
      <c r="B27" s="319" t="s">
        <v>70</v>
      </c>
      <c r="C27" s="319"/>
      <c r="D27" s="319"/>
      <c r="E27" s="319"/>
      <c r="F27" s="319"/>
      <c r="G27" s="320"/>
    </row>
  </sheetData>
  <mergeCells count="6">
    <mergeCell ref="F6:F9"/>
    <mergeCell ref="B27:G27"/>
    <mergeCell ref="B23:F23"/>
    <mergeCell ref="B24:F24"/>
    <mergeCell ref="B25:F25"/>
    <mergeCell ref="A26:G26"/>
  </mergeCells>
  <printOptions horizontalCentered="1"/>
  <pageMargins left="0.25" right="0.25" top="0.5" bottom="0.5" header="0.3" footer="0.05"/>
  <pageSetup orientation="landscape" horizontalDpi="4294967292" r:id="rId1"/>
  <rowBreaks count="1" manualBreakCount="1">
    <brk id="25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8"/>
  <sheetViews>
    <sheetView view="pageBreakPreview" zoomScaleSheetLayoutView="100" workbookViewId="0">
      <selection sqref="A1:H8"/>
    </sheetView>
  </sheetViews>
  <sheetFormatPr defaultColWidth="9.140625" defaultRowHeight="11.25" x14ac:dyDescent="0.15"/>
  <cols>
    <col min="1" max="1" width="5.85546875" style="4" bestFit="1" customWidth="1"/>
    <col min="2" max="2" width="12.5703125" style="4" customWidth="1"/>
    <col min="3" max="3" width="11" style="4" bestFit="1" customWidth="1"/>
    <col min="4" max="4" width="56.140625" style="4" customWidth="1"/>
    <col min="5" max="5" width="5" style="4" bestFit="1" customWidth="1"/>
    <col min="6" max="6" width="6.28515625" style="4" bestFit="1" customWidth="1"/>
    <col min="7" max="7" width="11.5703125" style="4" bestFit="1" customWidth="1"/>
    <col min="8" max="8" width="16.5703125" style="4" bestFit="1" customWidth="1"/>
    <col min="9" max="9" width="9.140625" style="1"/>
    <col min="10" max="10" width="10.5703125" style="12" bestFit="1" customWidth="1"/>
    <col min="11" max="11" width="13.28515625" style="4" bestFit="1" customWidth="1"/>
    <col min="12" max="16384" width="9.140625" style="4"/>
  </cols>
  <sheetData>
    <row r="1" spans="1:12" ht="22.5" x14ac:dyDescent="0.15">
      <c r="A1" s="2" t="s">
        <v>0</v>
      </c>
      <c r="B1" s="2" t="s">
        <v>1</v>
      </c>
      <c r="C1" s="3" t="s">
        <v>5</v>
      </c>
      <c r="D1" s="3" t="s">
        <v>2</v>
      </c>
      <c r="E1" s="3" t="s">
        <v>3</v>
      </c>
      <c r="F1" s="3" t="s">
        <v>13</v>
      </c>
      <c r="G1" s="14" t="s">
        <v>11</v>
      </c>
      <c r="H1" s="14" t="s">
        <v>12</v>
      </c>
      <c r="I1" s="1" t="s">
        <v>17</v>
      </c>
      <c r="J1" s="13" t="s">
        <v>10</v>
      </c>
      <c r="K1" s="4" t="s">
        <v>14</v>
      </c>
      <c r="L1" s="4" t="s">
        <v>16</v>
      </c>
    </row>
    <row r="2" spans="1:12" ht="78.75" x14ac:dyDescent="0.15">
      <c r="A2" s="5">
        <v>1</v>
      </c>
      <c r="B2" s="15" t="s">
        <v>54</v>
      </c>
      <c r="C2" s="15">
        <v>3003000220</v>
      </c>
      <c r="D2" s="6" t="s">
        <v>74</v>
      </c>
      <c r="E2" s="7" t="s">
        <v>4</v>
      </c>
      <c r="F2" s="5">
        <v>8</v>
      </c>
      <c r="G2" s="8">
        <f t="shared" ref="G2" si="0">80*1.3*I2</f>
        <v>46800</v>
      </c>
      <c r="H2" s="9">
        <f t="shared" ref="H2" si="1">G2*F2</f>
        <v>374400</v>
      </c>
      <c r="I2" s="1">
        <v>450</v>
      </c>
      <c r="J2" s="12">
        <f>80*4</f>
        <v>320</v>
      </c>
      <c r="K2" s="1"/>
    </row>
    <row r="3" spans="1:12" x14ac:dyDescent="0.15">
      <c r="A3" s="5">
        <v>2</v>
      </c>
      <c r="B3" s="331" t="s">
        <v>7</v>
      </c>
      <c r="C3" s="331"/>
      <c r="D3" s="331"/>
      <c r="E3" s="331"/>
      <c r="F3" s="331"/>
      <c r="G3" s="331"/>
      <c r="H3" s="11">
        <f>SUM(H2:H2)</f>
        <v>374400</v>
      </c>
    </row>
    <row r="4" spans="1:12" x14ac:dyDescent="0.15">
      <c r="A4" s="5">
        <v>3</v>
      </c>
      <c r="B4" s="331" t="s">
        <v>55</v>
      </c>
      <c r="C4" s="331"/>
      <c r="D4" s="331"/>
      <c r="E4" s="331"/>
      <c r="F4" s="331"/>
      <c r="G4" s="331"/>
      <c r="H4" s="11">
        <f>H3*18%</f>
        <v>67392</v>
      </c>
    </row>
    <row r="5" spans="1:12" x14ac:dyDescent="0.15">
      <c r="A5" s="5">
        <v>4</v>
      </c>
      <c r="B5" s="331" t="s">
        <v>6</v>
      </c>
      <c r="C5" s="331"/>
      <c r="D5" s="331"/>
      <c r="E5" s="331"/>
      <c r="F5" s="331"/>
      <c r="G5" s="331"/>
      <c r="H5" s="11">
        <v>0</v>
      </c>
    </row>
    <row r="6" spans="1:12" x14ac:dyDescent="0.15">
      <c r="A6" s="5">
        <v>5</v>
      </c>
      <c r="B6" s="331" t="s">
        <v>8</v>
      </c>
      <c r="C6" s="331"/>
      <c r="D6" s="331"/>
      <c r="E6" s="331"/>
      <c r="F6" s="331"/>
      <c r="G6" s="331"/>
      <c r="H6" s="11">
        <f>H4+H3</f>
        <v>441792</v>
      </c>
    </row>
    <row r="7" spans="1:12" x14ac:dyDescent="0.15">
      <c r="A7" s="332"/>
      <c r="B7" s="333"/>
      <c r="C7" s="333"/>
      <c r="D7" s="333"/>
      <c r="E7" s="333"/>
      <c r="F7" s="333"/>
      <c r="G7" s="333"/>
      <c r="H7" s="334"/>
    </row>
    <row r="8" spans="1:12" ht="146.25" customHeight="1" x14ac:dyDescent="0.15">
      <c r="A8" s="10" t="s">
        <v>9</v>
      </c>
      <c r="B8" s="329" t="s">
        <v>52</v>
      </c>
      <c r="C8" s="329"/>
      <c r="D8" s="329"/>
      <c r="E8" s="329"/>
      <c r="F8" s="329"/>
      <c r="G8" s="329"/>
      <c r="H8" s="330"/>
    </row>
  </sheetData>
  <mergeCells count="6">
    <mergeCell ref="B8:H8"/>
    <mergeCell ref="B3:G3"/>
    <mergeCell ref="B4:G4"/>
    <mergeCell ref="B5:G5"/>
    <mergeCell ref="B6:G6"/>
    <mergeCell ref="A7:H7"/>
  </mergeCells>
  <printOptions horizontalCentered="1"/>
  <pageMargins left="0.25" right="0.25" top="0.5" bottom="0.5" header="0.3" footer="0.05"/>
  <pageSetup orientation="landscape" horizontalDpi="4294967292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3"/>
  <sheetViews>
    <sheetView view="pageBreakPreview" zoomScaleSheetLayoutView="100" workbookViewId="0">
      <selection activeCell="C9" sqref="C9"/>
    </sheetView>
  </sheetViews>
  <sheetFormatPr defaultColWidth="9.140625" defaultRowHeight="11.25" x14ac:dyDescent="0.15"/>
  <cols>
    <col min="1" max="1" width="5.85546875" style="4" bestFit="1" customWidth="1"/>
    <col min="2" max="2" width="12.5703125" style="4" customWidth="1"/>
    <col min="3" max="3" width="56.140625" style="4" customWidth="1"/>
    <col min="4" max="4" width="5" style="4" bestFit="1" customWidth="1"/>
    <col min="5" max="5" width="6.28515625" style="38" bestFit="1" customWidth="1"/>
    <col min="6" max="6" width="11.5703125" style="4" bestFit="1" customWidth="1"/>
    <col min="7" max="7" width="16.5703125" style="4" bestFit="1" customWidth="1"/>
    <col min="8" max="8" width="9.140625" style="1"/>
    <col min="9" max="9" width="10.5703125" style="12" bestFit="1" customWidth="1"/>
    <col min="10" max="10" width="13.28515625" style="4" bestFit="1" customWidth="1"/>
    <col min="11" max="16384" width="9.140625" style="4"/>
  </cols>
  <sheetData>
    <row r="1" spans="1:11" ht="22.5" x14ac:dyDescent="0.15">
      <c r="A1" s="2" t="s">
        <v>0</v>
      </c>
      <c r="B1" s="2" t="s">
        <v>1</v>
      </c>
      <c r="C1" s="3" t="s">
        <v>2</v>
      </c>
      <c r="D1" s="3" t="s">
        <v>3</v>
      </c>
      <c r="E1" s="3" t="s">
        <v>13</v>
      </c>
      <c r="F1" s="14" t="s">
        <v>11</v>
      </c>
      <c r="G1" s="14" t="s">
        <v>12</v>
      </c>
      <c r="H1" s="1" t="s">
        <v>17</v>
      </c>
      <c r="I1" s="13" t="s">
        <v>10</v>
      </c>
      <c r="J1" s="4" t="s">
        <v>14</v>
      </c>
      <c r="K1" s="4" t="s">
        <v>16</v>
      </c>
    </row>
    <row r="2" spans="1:11" ht="33.75" x14ac:dyDescent="0.15">
      <c r="A2" s="5">
        <v>1</v>
      </c>
      <c r="B2" s="15" t="s">
        <v>75</v>
      </c>
      <c r="C2" s="39" t="s">
        <v>76</v>
      </c>
      <c r="D2" s="7" t="s">
        <v>4</v>
      </c>
      <c r="E2" s="7">
        <v>128</v>
      </c>
      <c r="F2" s="8">
        <f t="shared" ref="F2:F4" si="0">80*1.3*H2</f>
        <v>3120</v>
      </c>
      <c r="G2" s="9">
        <f t="shared" ref="G2:G4" si="1">F2*E2</f>
        <v>399360</v>
      </c>
      <c r="H2" s="1">
        <v>30</v>
      </c>
      <c r="I2" s="12">
        <v>25</v>
      </c>
      <c r="J2" s="1"/>
    </row>
    <row r="3" spans="1:11" ht="33.75" x14ac:dyDescent="0.15">
      <c r="A3" s="5">
        <v>2</v>
      </c>
      <c r="B3" s="15" t="s">
        <v>75</v>
      </c>
      <c r="C3" s="39" t="s">
        <v>77</v>
      </c>
      <c r="D3" s="7" t="s">
        <v>4</v>
      </c>
      <c r="E3" s="7">
        <v>128</v>
      </c>
      <c r="F3" s="8">
        <f t="shared" si="0"/>
        <v>0</v>
      </c>
      <c r="G3" s="9">
        <f t="shared" si="1"/>
        <v>0</v>
      </c>
      <c r="J3" s="1"/>
    </row>
    <row r="4" spans="1:11" x14ac:dyDescent="0.15">
      <c r="A4" s="5">
        <v>3</v>
      </c>
      <c r="B4" s="15" t="s">
        <v>75</v>
      </c>
      <c r="C4" s="39" t="s">
        <v>78</v>
      </c>
      <c r="D4" s="7" t="s">
        <v>4</v>
      </c>
      <c r="E4" s="7">
        <v>4</v>
      </c>
      <c r="F4" s="8">
        <f t="shared" si="0"/>
        <v>3640</v>
      </c>
      <c r="G4" s="9">
        <f t="shared" si="1"/>
        <v>14560</v>
      </c>
      <c r="H4" s="1">
        <v>35</v>
      </c>
      <c r="I4" s="12" t="s">
        <v>97</v>
      </c>
      <c r="J4" s="1"/>
    </row>
    <row r="5" spans="1:11" x14ac:dyDescent="0.15">
      <c r="A5" s="5">
        <v>4</v>
      </c>
      <c r="B5" s="15" t="s">
        <v>75</v>
      </c>
      <c r="C5" s="39" t="s">
        <v>79</v>
      </c>
      <c r="D5" s="7" t="s">
        <v>4</v>
      </c>
      <c r="E5" s="7">
        <v>1</v>
      </c>
      <c r="F5" s="8">
        <f t="shared" ref="F5:F12" si="2">80*1.3*H5</f>
        <v>0</v>
      </c>
      <c r="G5" s="9">
        <f t="shared" ref="G5:G12" si="3">F5*E5</f>
        <v>0</v>
      </c>
      <c r="J5" s="1"/>
    </row>
    <row r="6" spans="1:11" ht="56.25" x14ac:dyDescent="0.15">
      <c r="A6" s="5">
        <v>5</v>
      </c>
      <c r="B6" s="15" t="s">
        <v>80</v>
      </c>
      <c r="C6" s="39" t="s">
        <v>81</v>
      </c>
      <c r="D6" s="7" t="s">
        <v>4</v>
      </c>
      <c r="E6" s="7">
        <v>1</v>
      </c>
      <c r="F6" s="8">
        <f t="shared" si="2"/>
        <v>0</v>
      </c>
      <c r="G6" s="9">
        <f t="shared" si="3"/>
        <v>0</v>
      </c>
      <c r="J6" s="1"/>
    </row>
    <row r="7" spans="1:11" ht="45" x14ac:dyDescent="0.15">
      <c r="A7" s="5">
        <v>6</v>
      </c>
      <c r="B7" s="15" t="s">
        <v>80</v>
      </c>
      <c r="C7" s="39" t="s">
        <v>82</v>
      </c>
      <c r="D7" s="7" t="s">
        <v>4</v>
      </c>
      <c r="E7" s="7">
        <v>1</v>
      </c>
      <c r="F7" s="8">
        <f t="shared" si="2"/>
        <v>0</v>
      </c>
      <c r="G7" s="9">
        <f t="shared" si="3"/>
        <v>0</v>
      </c>
      <c r="J7" s="1"/>
    </row>
    <row r="8" spans="1:11" ht="22.5" x14ac:dyDescent="0.15">
      <c r="A8" s="5">
        <v>7</v>
      </c>
      <c r="B8" s="15" t="s">
        <v>80</v>
      </c>
      <c r="C8" s="39" t="s">
        <v>83</v>
      </c>
      <c r="D8" s="7" t="s">
        <v>4</v>
      </c>
      <c r="E8" s="7">
        <v>2</v>
      </c>
      <c r="F8" s="8">
        <f t="shared" si="2"/>
        <v>124800</v>
      </c>
      <c r="G8" s="9">
        <f t="shared" si="3"/>
        <v>249600</v>
      </c>
      <c r="H8" s="1">
        <v>1200</v>
      </c>
      <c r="I8" s="12">
        <v>1100</v>
      </c>
      <c r="J8" s="1"/>
    </row>
    <row r="9" spans="1:11" ht="22.5" x14ac:dyDescent="0.15">
      <c r="A9" s="5">
        <v>8</v>
      </c>
      <c r="B9" s="15" t="s">
        <v>80</v>
      </c>
      <c r="C9" s="39" t="s">
        <v>84</v>
      </c>
      <c r="D9" s="7" t="s">
        <v>4</v>
      </c>
      <c r="E9" s="7">
        <v>5</v>
      </c>
      <c r="F9" s="8">
        <f t="shared" si="2"/>
        <v>166400</v>
      </c>
      <c r="G9" s="9">
        <f t="shared" si="3"/>
        <v>832000</v>
      </c>
      <c r="H9" s="1">
        <v>1600</v>
      </c>
      <c r="I9" s="12">
        <v>1500</v>
      </c>
      <c r="J9" s="1"/>
    </row>
    <row r="10" spans="1:11" ht="45" x14ac:dyDescent="0.15">
      <c r="A10" s="5">
        <v>9</v>
      </c>
      <c r="B10" s="15" t="s">
        <v>80</v>
      </c>
      <c r="C10" s="39" t="s">
        <v>85</v>
      </c>
      <c r="D10" s="7" t="s">
        <v>4</v>
      </c>
      <c r="E10" s="7">
        <v>3</v>
      </c>
      <c r="F10" s="8">
        <f t="shared" si="2"/>
        <v>0</v>
      </c>
      <c r="G10" s="9">
        <f t="shared" si="3"/>
        <v>0</v>
      </c>
      <c r="J10" s="1"/>
    </row>
    <row r="11" spans="1:11" ht="33.75" x14ac:dyDescent="0.15">
      <c r="A11" s="5">
        <v>10</v>
      </c>
      <c r="B11" s="15" t="s">
        <v>80</v>
      </c>
      <c r="C11" s="39" t="s">
        <v>86</v>
      </c>
      <c r="D11" s="7" t="s">
        <v>4</v>
      </c>
      <c r="E11" s="7">
        <v>1</v>
      </c>
      <c r="F11" s="8">
        <f t="shared" si="2"/>
        <v>0</v>
      </c>
      <c r="G11" s="9">
        <f t="shared" si="3"/>
        <v>0</v>
      </c>
      <c r="J11" s="1"/>
    </row>
    <row r="12" spans="1:11" ht="22.5" x14ac:dyDescent="0.15">
      <c r="A12" s="5">
        <v>11</v>
      </c>
      <c r="B12" s="15" t="s">
        <v>80</v>
      </c>
      <c r="C12" s="39" t="s">
        <v>87</v>
      </c>
      <c r="D12" s="7" t="s">
        <v>4</v>
      </c>
      <c r="E12" s="7">
        <v>1</v>
      </c>
      <c r="F12" s="8">
        <f t="shared" si="2"/>
        <v>72800</v>
      </c>
      <c r="G12" s="9">
        <f t="shared" si="3"/>
        <v>72800</v>
      </c>
      <c r="H12" s="1">
        <v>700</v>
      </c>
      <c r="I12" s="12">
        <v>695</v>
      </c>
      <c r="J12" s="1"/>
    </row>
    <row r="13" spans="1:11" ht="33.75" x14ac:dyDescent="0.15">
      <c r="A13" s="5">
        <v>12</v>
      </c>
      <c r="B13" s="15" t="s">
        <v>80</v>
      </c>
      <c r="C13" s="39" t="s">
        <v>88</v>
      </c>
      <c r="D13" s="7" t="s">
        <v>4</v>
      </c>
      <c r="E13" s="7">
        <v>2</v>
      </c>
      <c r="F13" s="8">
        <f t="shared" ref="F13:F16" si="4">80*1.3*H13</f>
        <v>1560</v>
      </c>
      <c r="G13" s="9">
        <f t="shared" ref="G13:G16" si="5">F13*E13</f>
        <v>3120</v>
      </c>
      <c r="H13" s="1">
        <v>15</v>
      </c>
      <c r="I13" s="12" t="s">
        <v>98</v>
      </c>
      <c r="J13" s="1"/>
    </row>
    <row r="14" spans="1:11" ht="22.5" x14ac:dyDescent="0.15">
      <c r="A14" s="5">
        <v>13</v>
      </c>
      <c r="B14" s="15" t="s">
        <v>80</v>
      </c>
      <c r="C14" s="39" t="s">
        <v>89</v>
      </c>
      <c r="D14" s="7" t="s">
        <v>4</v>
      </c>
      <c r="E14" s="7">
        <v>1</v>
      </c>
      <c r="F14" s="8">
        <f t="shared" si="4"/>
        <v>83200</v>
      </c>
      <c r="G14" s="9">
        <f t="shared" si="5"/>
        <v>83200</v>
      </c>
      <c r="H14" s="1">
        <v>800</v>
      </c>
      <c r="I14" s="1">
        <v>770</v>
      </c>
      <c r="J14" s="1">
        <v>790</v>
      </c>
    </row>
    <row r="15" spans="1:11" ht="22.5" x14ac:dyDescent="0.15">
      <c r="A15" s="5">
        <v>14</v>
      </c>
      <c r="B15" s="15" t="s">
        <v>80</v>
      </c>
      <c r="C15" s="39" t="s">
        <v>90</v>
      </c>
      <c r="D15" s="7" t="s">
        <v>4</v>
      </c>
      <c r="E15" s="7">
        <v>1</v>
      </c>
      <c r="F15" s="8">
        <f t="shared" si="4"/>
        <v>130000</v>
      </c>
      <c r="G15" s="9">
        <f t="shared" si="5"/>
        <v>130000</v>
      </c>
      <c r="H15" s="1">
        <v>1250</v>
      </c>
      <c r="I15" s="1">
        <v>1218</v>
      </c>
      <c r="J15" s="1">
        <v>1325</v>
      </c>
    </row>
    <row r="16" spans="1:11" ht="22.5" x14ac:dyDescent="0.15">
      <c r="A16" s="5">
        <v>15</v>
      </c>
      <c r="B16" s="15" t="s">
        <v>91</v>
      </c>
      <c r="C16" s="39" t="s">
        <v>92</v>
      </c>
      <c r="D16" s="7" t="s">
        <v>4</v>
      </c>
      <c r="E16" s="7">
        <v>1</v>
      </c>
      <c r="F16" s="8">
        <f t="shared" si="4"/>
        <v>64480</v>
      </c>
      <c r="G16" s="9">
        <f t="shared" si="5"/>
        <v>64480</v>
      </c>
      <c r="H16" s="1">
        <v>620</v>
      </c>
      <c r="J16" s="1">
        <v>580</v>
      </c>
    </row>
    <row r="17" spans="1:10" ht="22.5" x14ac:dyDescent="0.15">
      <c r="A17" s="5">
        <v>16</v>
      </c>
      <c r="B17" s="15" t="s">
        <v>91</v>
      </c>
      <c r="C17" s="39" t="s">
        <v>93</v>
      </c>
      <c r="D17" s="7" t="s">
        <v>4</v>
      </c>
      <c r="E17" s="7">
        <v>3</v>
      </c>
      <c r="F17" s="8">
        <f t="shared" ref="F17:F18" si="6">80*1.3*H17</f>
        <v>67600</v>
      </c>
      <c r="G17" s="9">
        <f t="shared" ref="G17:G18" si="7">F17*E17</f>
        <v>202800</v>
      </c>
      <c r="H17" s="1">
        <v>650</v>
      </c>
      <c r="J17" s="1">
        <v>600</v>
      </c>
    </row>
    <row r="18" spans="1:10" x14ac:dyDescent="0.15">
      <c r="A18" s="5">
        <v>17</v>
      </c>
      <c r="B18" s="15" t="s">
        <v>94</v>
      </c>
      <c r="C18" s="39" t="s">
        <v>95</v>
      </c>
      <c r="D18" s="7" t="s">
        <v>4</v>
      </c>
      <c r="E18" s="7">
        <v>3</v>
      </c>
      <c r="F18" s="8">
        <f t="shared" si="6"/>
        <v>36400</v>
      </c>
      <c r="G18" s="9">
        <f t="shared" si="7"/>
        <v>109200</v>
      </c>
      <c r="H18" s="1">
        <v>350</v>
      </c>
      <c r="I18" s="12">
        <v>320</v>
      </c>
      <c r="J18" s="1"/>
    </row>
    <row r="19" spans="1:10" x14ac:dyDescent="0.15">
      <c r="A19" s="5">
        <v>2</v>
      </c>
      <c r="B19" s="331" t="s">
        <v>7</v>
      </c>
      <c r="C19" s="331"/>
      <c r="D19" s="331"/>
      <c r="E19" s="331"/>
      <c r="F19" s="331"/>
      <c r="G19" s="11">
        <f>SUM(G2:G18)</f>
        <v>2161120</v>
      </c>
    </row>
    <row r="20" spans="1:10" x14ac:dyDescent="0.15">
      <c r="A20" s="5">
        <v>3</v>
      </c>
      <c r="B20" s="331" t="s">
        <v>96</v>
      </c>
      <c r="C20" s="331"/>
      <c r="D20" s="331"/>
      <c r="E20" s="331"/>
      <c r="F20" s="331"/>
      <c r="G20" s="11">
        <f>G19*18%</f>
        <v>389001.6</v>
      </c>
    </row>
    <row r="21" spans="1:10" x14ac:dyDescent="0.15">
      <c r="A21" s="5">
        <v>5</v>
      </c>
      <c r="B21" s="331" t="s">
        <v>8</v>
      </c>
      <c r="C21" s="331"/>
      <c r="D21" s="331"/>
      <c r="E21" s="331"/>
      <c r="F21" s="331"/>
      <c r="G21" s="11">
        <f>G20+G19</f>
        <v>2550121.6</v>
      </c>
    </row>
    <row r="22" spans="1:10" x14ac:dyDescent="0.15">
      <c r="A22" s="332"/>
      <c r="B22" s="333"/>
      <c r="C22" s="333"/>
      <c r="D22" s="333"/>
      <c r="E22" s="333"/>
      <c r="F22" s="333"/>
      <c r="G22" s="334"/>
    </row>
    <row r="23" spans="1:10" ht="146.25" customHeight="1" x14ac:dyDescent="0.15">
      <c r="A23" s="10" t="s">
        <v>9</v>
      </c>
      <c r="B23" s="329" t="s">
        <v>52</v>
      </c>
      <c r="C23" s="329"/>
      <c r="D23" s="329"/>
      <c r="E23" s="329"/>
      <c r="F23" s="329"/>
      <c r="G23" s="330"/>
    </row>
  </sheetData>
  <mergeCells count="5">
    <mergeCell ref="B19:F19"/>
    <mergeCell ref="B20:F20"/>
    <mergeCell ref="B21:F21"/>
    <mergeCell ref="A22:G22"/>
    <mergeCell ref="B23:G23"/>
  </mergeCells>
  <printOptions horizontalCentered="1"/>
  <pageMargins left="0.25" right="0.25" top="0.5" bottom="0.5" header="0.3" footer="0.05"/>
  <pageSetup orientation="landscape" horizontalDpi="4294967292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8"/>
  <sheetViews>
    <sheetView view="pageBreakPreview" zoomScaleSheetLayoutView="100" workbookViewId="0">
      <selection activeCell="B8" sqref="B8:H8"/>
    </sheetView>
  </sheetViews>
  <sheetFormatPr defaultColWidth="9.140625" defaultRowHeight="11.25" x14ac:dyDescent="0.15"/>
  <cols>
    <col min="1" max="1" width="5.85546875" style="4" bestFit="1" customWidth="1"/>
    <col min="2" max="2" width="12.5703125" style="4" customWidth="1"/>
    <col min="3" max="3" width="11" style="4" bestFit="1" customWidth="1"/>
    <col min="4" max="4" width="50.42578125" style="4" customWidth="1"/>
    <col min="5" max="5" width="5" style="4" bestFit="1" customWidth="1"/>
    <col min="6" max="6" width="6.28515625" style="4" bestFit="1" customWidth="1"/>
    <col min="7" max="7" width="11.5703125" style="4" bestFit="1" customWidth="1"/>
    <col min="8" max="8" width="16.5703125" style="4" bestFit="1" customWidth="1"/>
    <col min="9" max="9" width="9.140625" style="1"/>
    <col min="10" max="10" width="10.5703125" style="12" bestFit="1" customWidth="1"/>
    <col min="11" max="11" width="13.28515625" style="4" bestFit="1" customWidth="1"/>
    <col min="12" max="16384" width="9.140625" style="4"/>
  </cols>
  <sheetData>
    <row r="1" spans="1:12" ht="22.5" x14ac:dyDescent="0.15">
      <c r="A1" s="2" t="s">
        <v>0</v>
      </c>
      <c r="B1" s="2" t="s">
        <v>1</v>
      </c>
      <c r="C1" s="3" t="s">
        <v>5</v>
      </c>
      <c r="D1" s="3" t="s">
        <v>2</v>
      </c>
      <c r="E1" s="3" t="s">
        <v>3</v>
      </c>
      <c r="F1" s="3" t="s">
        <v>13</v>
      </c>
      <c r="G1" s="14" t="s">
        <v>11</v>
      </c>
      <c r="H1" s="14" t="s">
        <v>12</v>
      </c>
      <c r="I1" s="1" t="s">
        <v>17</v>
      </c>
      <c r="J1" s="13" t="s">
        <v>10</v>
      </c>
      <c r="K1" s="4" t="s">
        <v>14</v>
      </c>
      <c r="L1" s="4" t="s">
        <v>16</v>
      </c>
    </row>
    <row r="2" spans="1:12" ht="66.95" customHeight="1" x14ac:dyDescent="0.15">
      <c r="A2" s="5">
        <v>1</v>
      </c>
      <c r="B2" s="15" t="s">
        <v>99</v>
      </c>
      <c r="C2" s="15">
        <v>7202000011</v>
      </c>
      <c r="D2" s="6" t="s">
        <v>101</v>
      </c>
      <c r="E2" s="7" t="s">
        <v>4</v>
      </c>
      <c r="F2" s="5">
        <v>2</v>
      </c>
      <c r="G2" s="8">
        <f t="shared" ref="G2" si="0">80*1.3*I2</f>
        <v>31200</v>
      </c>
      <c r="H2" s="9">
        <f t="shared" ref="H2" si="1">G2*F2</f>
        <v>62400</v>
      </c>
      <c r="I2" s="1">
        <v>300</v>
      </c>
      <c r="J2" s="12">
        <v>290</v>
      </c>
      <c r="K2" s="1"/>
    </row>
    <row r="3" spans="1:12" x14ac:dyDescent="0.15">
      <c r="A3" s="5">
        <v>2</v>
      </c>
      <c r="B3" s="331" t="s">
        <v>7</v>
      </c>
      <c r="C3" s="331"/>
      <c r="D3" s="331"/>
      <c r="E3" s="331"/>
      <c r="F3" s="331"/>
      <c r="G3" s="331"/>
      <c r="H3" s="11">
        <f>SUM(H2:H2)</f>
        <v>62400</v>
      </c>
    </row>
    <row r="4" spans="1:12" x14ac:dyDescent="0.15">
      <c r="A4" s="5">
        <v>3</v>
      </c>
      <c r="B4" s="331" t="s">
        <v>100</v>
      </c>
      <c r="C4" s="331"/>
      <c r="D4" s="331"/>
      <c r="E4" s="331"/>
      <c r="F4" s="331"/>
      <c r="G4" s="331"/>
      <c r="H4" s="11">
        <f>H3*18%</f>
        <v>11232</v>
      </c>
    </row>
    <row r="5" spans="1:12" x14ac:dyDescent="0.15">
      <c r="A5" s="5">
        <v>4</v>
      </c>
      <c r="B5" s="331" t="s">
        <v>6</v>
      </c>
      <c r="C5" s="331"/>
      <c r="D5" s="331"/>
      <c r="E5" s="331"/>
      <c r="F5" s="331"/>
      <c r="G5" s="331"/>
      <c r="H5" s="11">
        <v>0</v>
      </c>
    </row>
    <row r="6" spans="1:12" x14ac:dyDescent="0.15">
      <c r="A6" s="5">
        <v>5</v>
      </c>
      <c r="B6" s="331" t="s">
        <v>8</v>
      </c>
      <c r="C6" s="331"/>
      <c r="D6" s="331"/>
      <c r="E6" s="331"/>
      <c r="F6" s="331"/>
      <c r="G6" s="331"/>
      <c r="H6" s="11">
        <f>H4+H3</f>
        <v>73632</v>
      </c>
    </row>
    <row r="7" spans="1:12" x14ac:dyDescent="0.15">
      <c r="A7" s="332"/>
      <c r="B7" s="333"/>
      <c r="C7" s="333"/>
      <c r="D7" s="333"/>
      <c r="E7" s="333"/>
      <c r="F7" s="333"/>
      <c r="G7" s="333"/>
      <c r="H7" s="334"/>
    </row>
    <row r="8" spans="1:12" ht="146.25" customHeight="1" x14ac:dyDescent="0.15">
      <c r="A8" s="10" t="s">
        <v>9</v>
      </c>
      <c r="B8" s="329" t="s">
        <v>52</v>
      </c>
      <c r="C8" s="329"/>
      <c r="D8" s="329"/>
      <c r="E8" s="329"/>
      <c r="F8" s="329"/>
      <c r="G8" s="329"/>
      <c r="H8" s="330"/>
    </row>
  </sheetData>
  <mergeCells count="6">
    <mergeCell ref="B8:H8"/>
    <mergeCell ref="B3:G3"/>
    <mergeCell ref="B4:G4"/>
    <mergeCell ref="B5:G5"/>
    <mergeCell ref="B6:G6"/>
    <mergeCell ref="A7:H7"/>
  </mergeCells>
  <printOptions horizontalCentered="1"/>
  <pageMargins left="0.25" right="0.25" top="0.5" bottom="0.5" header="0.3" footer="0.05"/>
  <pageSetup orientation="landscape" horizontalDpi="4294967292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1"/>
  <sheetViews>
    <sheetView view="pageBreakPreview" zoomScaleSheetLayoutView="100" workbookViewId="0">
      <selection activeCell="C3" sqref="C3"/>
    </sheetView>
  </sheetViews>
  <sheetFormatPr defaultColWidth="9.140625" defaultRowHeight="11.25" x14ac:dyDescent="0.15"/>
  <cols>
    <col min="1" max="1" width="5.85546875" style="4" bestFit="1" customWidth="1"/>
    <col min="2" max="2" width="12.5703125" style="4" customWidth="1"/>
    <col min="3" max="3" width="50.42578125" style="4" customWidth="1"/>
    <col min="4" max="4" width="5" style="4" bestFit="1" customWidth="1"/>
    <col min="5" max="5" width="6.28515625" style="4" bestFit="1" customWidth="1"/>
    <col min="6" max="6" width="11.5703125" style="4" bestFit="1" customWidth="1"/>
    <col min="7" max="7" width="16.5703125" style="4" bestFit="1" customWidth="1"/>
    <col min="8" max="8" width="9.140625" style="1"/>
    <col min="9" max="9" width="10.5703125" style="12" bestFit="1" customWidth="1"/>
    <col min="10" max="10" width="13.28515625" style="4" bestFit="1" customWidth="1"/>
    <col min="11" max="16384" width="9.140625" style="4"/>
  </cols>
  <sheetData>
    <row r="1" spans="1:11" ht="22.5" x14ac:dyDescent="0.15">
      <c r="A1" s="2" t="s">
        <v>0</v>
      </c>
      <c r="B1" s="3" t="s">
        <v>5</v>
      </c>
      <c r="C1" s="3" t="s">
        <v>2</v>
      </c>
      <c r="D1" s="3" t="s">
        <v>3</v>
      </c>
      <c r="E1" s="3" t="s">
        <v>13</v>
      </c>
      <c r="F1" s="14" t="s">
        <v>11</v>
      </c>
      <c r="G1" s="14" t="s">
        <v>12</v>
      </c>
      <c r="H1" s="40" t="s">
        <v>17</v>
      </c>
      <c r="I1" s="41" t="s">
        <v>14</v>
      </c>
      <c r="J1" s="42" t="s">
        <v>10</v>
      </c>
      <c r="K1" s="4" t="s">
        <v>107</v>
      </c>
    </row>
    <row r="2" spans="1:11" ht="66.95" customHeight="1" x14ac:dyDescent="0.15">
      <c r="A2" s="5">
        <v>1</v>
      </c>
      <c r="B2" s="15">
        <v>5307000022</v>
      </c>
      <c r="C2" s="6" t="s">
        <v>104</v>
      </c>
      <c r="D2" s="7" t="s">
        <v>105</v>
      </c>
      <c r="E2" s="5">
        <v>12</v>
      </c>
      <c r="F2" s="8">
        <f>80*1.35*H2</f>
        <v>76680</v>
      </c>
      <c r="G2" s="9">
        <f t="shared" ref="G2:G3" si="0">F2*E2</f>
        <v>920160</v>
      </c>
      <c r="H2" s="43">
        <v>710</v>
      </c>
      <c r="I2" s="44">
        <f>4218/6</f>
        <v>703</v>
      </c>
      <c r="J2" s="45">
        <v>1750</v>
      </c>
    </row>
    <row r="3" spans="1:11" ht="66.95" customHeight="1" x14ac:dyDescent="0.15">
      <c r="A3" s="5">
        <v>2</v>
      </c>
      <c r="B3" s="15">
        <v>6003990001</v>
      </c>
      <c r="C3" s="6" t="s">
        <v>106</v>
      </c>
      <c r="D3" s="7" t="s">
        <v>105</v>
      </c>
      <c r="E3" s="5">
        <v>8</v>
      </c>
      <c r="F3" s="8">
        <f>80*1.35*H3</f>
        <v>172800</v>
      </c>
      <c r="G3" s="9">
        <f t="shared" si="0"/>
        <v>1382400</v>
      </c>
      <c r="H3" s="43">
        <v>1600</v>
      </c>
      <c r="I3" s="44"/>
      <c r="J3" s="45">
        <v>1550</v>
      </c>
    </row>
    <row r="4" spans="1:11" ht="66.95" customHeight="1" x14ac:dyDescent="0.15">
      <c r="A4" s="5">
        <v>3</v>
      </c>
      <c r="B4" s="15">
        <v>6001000041</v>
      </c>
      <c r="C4" s="6" t="s">
        <v>102</v>
      </c>
      <c r="D4" s="7" t="s">
        <v>4</v>
      </c>
      <c r="E4" s="5">
        <v>64</v>
      </c>
      <c r="F4" s="8">
        <v>2100</v>
      </c>
      <c r="G4" s="9">
        <f t="shared" ref="G4" si="1">F4*E4</f>
        <v>134400</v>
      </c>
      <c r="H4" s="43"/>
      <c r="I4" s="44"/>
      <c r="J4" s="45"/>
      <c r="K4" s="4">
        <v>1564</v>
      </c>
    </row>
    <row r="5" spans="1:11" ht="66.95" customHeight="1" x14ac:dyDescent="0.15">
      <c r="A5" s="5">
        <v>4</v>
      </c>
      <c r="B5" s="15">
        <v>6001000042</v>
      </c>
      <c r="C5" s="6" t="s">
        <v>103</v>
      </c>
      <c r="D5" s="7" t="s">
        <v>4</v>
      </c>
      <c r="E5" s="5">
        <v>64</v>
      </c>
      <c r="F5" s="8">
        <v>3300</v>
      </c>
      <c r="G5" s="9">
        <f t="shared" ref="G5" si="2">F5*E5</f>
        <v>211200</v>
      </c>
      <c r="H5" s="43"/>
      <c r="I5" s="44"/>
      <c r="J5" s="45"/>
      <c r="K5" s="4">
        <v>2990</v>
      </c>
    </row>
    <row r="6" spans="1:11" ht="12.75" x14ac:dyDescent="0.15">
      <c r="A6" s="5">
        <v>5</v>
      </c>
      <c r="B6" s="331" t="s">
        <v>7</v>
      </c>
      <c r="C6" s="331"/>
      <c r="D6" s="331"/>
      <c r="E6" s="331"/>
      <c r="F6" s="331"/>
      <c r="G6" s="11">
        <f>SUM(G2:G5)</f>
        <v>2648160</v>
      </c>
      <c r="H6" s="46"/>
      <c r="I6" s="46"/>
      <c r="J6" s="47"/>
    </row>
    <row r="7" spans="1:11" x14ac:dyDescent="0.15">
      <c r="A7" s="5">
        <v>6</v>
      </c>
      <c r="B7" s="331" t="s">
        <v>51</v>
      </c>
      <c r="C7" s="331"/>
      <c r="D7" s="331"/>
      <c r="E7" s="331"/>
      <c r="F7" s="331"/>
      <c r="G7" s="11">
        <f>G6*18%</f>
        <v>476668.8</v>
      </c>
    </row>
    <row r="8" spans="1:11" x14ac:dyDescent="0.15">
      <c r="A8" s="5">
        <v>7</v>
      </c>
      <c r="B8" s="331" t="s">
        <v>6</v>
      </c>
      <c r="C8" s="331"/>
      <c r="D8" s="331"/>
      <c r="E8" s="331"/>
      <c r="F8" s="331"/>
      <c r="G8" s="11">
        <v>0</v>
      </c>
    </row>
    <row r="9" spans="1:11" x14ac:dyDescent="0.15">
      <c r="A9" s="5">
        <v>8</v>
      </c>
      <c r="B9" s="331" t="s">
        <v>8</v>
      </c>
      <c r="C9" s="331"/>
      <c r="D9" s="331"/>
      <c r="E9" s="331"/>
      <c r="F9" s="331"/>
      <c r="G9" s="11">
        <f>G7+G6</f>
        <v>3124828.8</v>
      </c>
    </row>
    <row r="10" spans="1:11" x14ac:dyDescent="0.15">
      <c r="A10" s="332"/>
      <c r="B10" s="333"/>
      <c r="C10" s="333"/>
      <c r="D10" s="333"/>
      <c r="E10" s="333"/>
      <c r="F10" s="333"/>
      <c r="G10" s="334"/>
    </row>
    <row r="11" spans="1:11" ht="146.25" customHeight="1" x14ac:dyDescent="0.15">
      <c r="A11" s="10" t="s">
        <v>9</v>
      </c>
      <c r="B11" s="329" t="s">
        <v>52</v>
      </c>
      <c r="C11" s="329"/>
      <c r="D11" s="329"/>
      <c r="E11" s="329"/>
      <c r="F11" s="329"/>
      <c r="G11" s="330"/>
    </row>
  </sheetData>
  <mergeCells count="6">
    <mergeCell ref="B11:G11"/>
    <mergeCell ref="B6:F6"/>
    <mergeCell ref="B7:F7"/>
    <mergeCell ref="B8:F8"/>
    <mergeCell ref="B9:F9"/>
    <mergeCell ref="A10:G10"/>
  </mergeCells>
  <printOptions horizontalCentered="1"/>
  <pageMargins left="0.25" right="0.25" top="0.5" bottom="0.5" header="0.3" footer="0.05"/>
  <pageSetup orientation="landscape" horizontalDpi="4294967292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5"/>
  <sheetViews>
    <sheetView view="pageBreakPreview" zoomScaleSheetLayoutView="100" workbookViewId="0">
      <selection activeCell="B2" sqref="B2"/>
    </sheetView>
  </sheetViews>
  <sheetFormatPr defaultColWidth="9.140625" defaultRowHeight="11.25" x14ac:dyDescent="0.15"/>
  <cols>
    <col min="1" max="1" width="5.85546875" style="4" bestFit="1" customWidth="1"/>
    <col min="2" max="2" width="12.5703125" style="4" customWidth="1"/>
    <col min="3" max="3" width="50.42578125" style="4" customWidth="1"/>
    <col min="4" max="4" width="5" style="4" bestFit="1" customWidth="1"/>
    <col min="5" max="5" width="6.28515625" style="4" bestFit="1" customWidth="1"/>
    <col min="6" max="6" width="11.5703125" style="4" bestFit="1" customWidth="1"/>
    <col min="7" max="7" width="16.5703125" style="4" bestFit="1" customWidth="1"/>
    <col min="8" max="8" width="9.140625" style="81"/>
    <col min="9" max="9" width="10.5703125" style="87" bestFit="1" customWidth="1"/>
    <col min="10" max="10" width="13.28515625" style="81" bestFit="1" customWidth="1"/>
    <col min="11" max="11" width="9.140625" style="81"/>
    <col min="12" max="16384" width="9.140625" style="4"/>
  </cols>
  <sheetData>
    <row r="1" spans="1:11" ht="25.5" x14ac:dyDescent="0.15">
      <c r="A1" s="48" t="s">
        <v>0</v>
      </c>
      <c r="B1" s="49" t="s">
        <v>5</v>
      </c>
      <c r="C1" s="49" t="s">
        <v>2</v>
      </c>
      <c r="D1" s="49" t="s">
        <v>3</v>
      </c>
      <c r="E1" s="49" t="s">
        <v>13</v>
      </c>
      <c r="F1" s="50" t="s">
        <v>11</v>
      </c>
      <c r="G1" s="50" t="s">
        <v>12</v>
      </c>
      <c r="H1" s="78" t="s">
        <v>17</v>
      </c>
      <c r="I1" s="79" t="s">
        <v>163</v>
      </c>
      <c r="J1" s="80" t="s">
        <v>110</v>
      </c>
      <c r="K1" s="81" t="s">
        <v>167</v>
      </c>
    </row>
    <row r="2" spans="1:11" ht="66.95" customHeight="1" x14ac:dyDescent="0.15">
      <c r="A2" s="51">
        <v>1</v>
      </c>
      <c r="B2" s="52">
        <v>3210010057</v>
      </c>
      <c r="C2" s="53" t="s">
        <v>166</v>
      </c>
      <c r="D2" s="54" t="s">
        <v>105</v>
      </c>
      <c r="E2" s="51">
        <v>1</v>
      </c>
      <c r="F2" s="55">
        <f>80*1.3*H2</f>
        <v>447200</v>
      </c>
      <c r="G2" s="56">
        <f t="shared" ref="G2" si="0">F2*E2</f>
        <v>447200</v>
      </c>
      <c r="H2" s="82">
        <v>4300</v>
      </c>
      <c r="I2" s="83">
        <v>1260</v>
      </c>
      <c r="J2" s="84">
        <v>5000</v>
      </c>
      <c r="K2" s="81">
        <f>2*(9800/6.1)</f>
        <v>3213.1147540983607</v>
      </c>
    </row>
    <row r="3" spans="1:11" ht="12.75" x14ac:dyDescent="0.15">
      <c r="A3" s="51">
        <v>2</v>
      </c>
      <c r="B3" s="337" t="s">
        <v>7</v>
      </c>
      <c r="C3" s="337"/>
      <c r="D3" s="337"/>
      <c r="E3" s="337"/>
      <c r="F3" s="337"/>
      <c r="G3" s="57">
        <f>SUM(G2:G2)</f>
        <v>447200</v>
      </c>
      <c r="H3" s="85"/>
      <c r="I3" s="85"/>
      <c r="J3" s="86"/>
    </row>
    <row r="4" spans="1:11" ht="12.75" x14ac:dyDescent="0.15">
      <c r="A4" s="51">
        <v>3</v>
      </c>
      <c r="B4" s="337" t="s">
        <v>164</v>
      </c>
      <c r="C4" s="337"/>
      <c r="D4" s="337"/>
      <c r="E4" s="337"/>
      <c r="F4" s="337"/>
      <c r="G4" s="57">
        <f>G3*18%</f>
        <v>80496</v>
      </c>
    </row>
    <row r="5" spans="1:11" ht="12.75" x14ac:dyDescent="0.15">
      <c r="A5" s="51">
        <v>4</v>
      </c>
      <c r="B5" s="337" t="s">
        <v>6</v>
      </c>
      <c r="C5" s="337"/>
      <c r="D5" s="337"/>
      <c r="E5" s="337"/>
      <c r="F5" s="337"/>
      <c r="G5" s="57">
        <v>1500</v>
      </c>
    </row>
    <row r="6" spans="1:11" ht="12.75" x14ac:dyDescent="0.15">
      <c r="A6" s="51">
        <v>5</v>
      </c>
      <c r="B6" s="337" t="s">
        <v>8</v>
      </c>
      <c r="C6" s="337"/>
      <c r="D6" s="337"/>
      <c r="E6" s="337"/>
      <c r="F6" s="337"/>
      <c r="G6" s="57">
        <f>G4+G3</f>
        <v>527696</v>
      </c>
    </row>
    <row r="7" spans="1:11" ht="12.75" x14ac:dyDescent="0.15">
      <c r="A7" s="338"/>
      <c r="B7" s="339"/>
      <c r="C7" s="339"/>
      <c r="D7" s="339"/>
      <c r="E7" s="339"/>
      <c r="F7" s="339"/>
      <c r="G7" s="340"/>
    </row>
    <row r="8" spans="1:11" ht="146.25" customHeight="1" x14ac:dyDescent="0.15">
      <c r="A8" s="58" t="s">
        <v>9</v>
      </c>
      <c r="B8" s="335" t="s">
        <v>165</v>
      </c>
      <c r="C8" s="335"/>
      <c r="D8" s="335"/>
      <c r="E8" s="335"/>
      <c r="F8" s="335"/>
      <c r="G8" s="336"/>
    </row>
    <row r="9" spans="1:11" ht="12.75" x14ac:dyDescent="0.2">
      <c r="A9" s="59"/>
      <c r="B9" s="59"/>
      <c r="C9" s="59"/>
      <c r="D9" s="59"/>
      <c r="E9" s="59"/>
      <c r="F9" s="59"/>
      <c r="G9" s="59"/>
    </row>
    <row r="10" spans="1:11" ht="12.75" x14ac:dyDescent="0.2">
      <c r="A10" s="59"/>
      <c r="B10" s="59"/>
      <c r="C10" s="59"/>
      <c r="D10" s="59"/>
      <c r="E10" s="59"/>
      <c r="F10" s="59"/>
      <c r="G10" s="59"/>
    </row>
    <row r="11" spans="1:11" ht="12.75" x14ac:dyDescent="0.2">
      <c r="A11" s="59"/>
      <c r="B11" s="59"/>
      <c r="C11" s="59"/>
      <c r="D11" s="59"/>
      <c r="E11" s="59"/>
      <c r="F11" s="59"/>
      <c r="G11" s="59"/>
    </row>
    <row r="12" spans="1:11" ht="12.75" x14ac:dyDescent="0.2">
      <c r="A12" s="59"/>
      <c r="B12" s="59"/>
      <c r="C12" s="59"/>
      <c r="D12" s="59"/>
      <c r="E12" s="59"/>
      <c r="F12" s="59"/>
      <c r="G12" s="59"/>
    </row>
    <row r="13" spans="1:11" ht="12.75" x14ac:dyDescent="0.2">
      <c r="A13" s="59"/>
      <c r="B13" s="59"/>
      <c r="C13" s="59"/>
      <c r="D13" s="59"/>
      <c r="E13" s="59"/>
      <c r="F13" s="59"/>
      <c r="G13" s="59"/>
    </row>
    <row r="14" spans="1:11" ht="12.75" x14ac:dyDescent="0.2">
      <c r="A14" s="59"/>
      <c r="B14" s="59"/>
      <c r="C14" s="59"/>
      <c r="D14" s="59"/>
      <c r="E14" s="59"/>
      <c r="F14" s="59"/>
      <c r="G14" s="59"/>
    </row>
    <row r="15" spans="1:11" ht="12.75" x14ac:dyDescent="0.2">
      <c r="A15" s="59"/>
      <c r="B15" s="59"/>
      <c r="C15" s="59"/>
      <c r="D15" s="59"/>
      <c r="E15" s="59"/>
      <c r="F15" s="59"/>
      <c r="G15" s="59"/>
    </row>
  </sheetData>
  <mergeCells count="6">
    <mergeCell ref="B8:G8"/>
    <mergeCell ref="B3:F3"/>
    <mergeCell ref="B4:F4"/>
    <mergeCell ref="B5:F5"/>
    <mergeCell ref="B6:F6"/>
    <mergeCell ref="A7:G7"/>
  </mergeCells>
  <printOptions horizontalCentered="1"/>
  <pageMargins left="0.25" right="0.25" top="0.5" bottom="0.5" header="0.3" footer="0.05"/>
  <pageSetup orientation="landscape" horizontalDpi="4294967292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4"/>
  <sheetViews>
    <sheetView view="pageBreakPreview" zoomScaleSheetLayoutView="100" workbookViewId="0">
      <selection activeCell="F2" sqref="F2"/>
    </sheetView>
  </sheetViews>
  <sheetFormatPr defaultColWidth="9.140625" defaultRowHeight="11.25" x14ac:dyDescent="0.15"/>
  <cols>
    <col min="1" max="1" width="5.85546875" style="4" bestFit="1" customWidth="1"/>
    <col min="2" max="2" width="12.5703125" style="4" customWidth="1"/>
    <col min="3" max="3" width="50.42578125" style="4" customWidth="1"/>
    <col min="4" max="4" width="5" style="4" bestFit="1" customWidth="1"/>
    <col min="5" max="5" width="6.28515625" style="4" bestFit="1" customWidth="1"/>
    <col min="6" max="6" width="11.5703125" style="4" bestFit="1" customWidth="1"/>
    <col min="7" max="7" width="16.5703125" style="4" bestFit="1" customWidth="1"/>
    <col min="8" max="8" width="9.140625" style="1"/>
    <col min="9" max="9" width="10.5703125" style="12" bestFit="1" customWidth="1"/>
    <col min="10" max="10" width="13.28515625" style="4" bestFit="1" customWidth="1"/>
    <col min="11" max="16384" width="9.140625" style="4"/>
  </cols>
  <sheetData>
    <row r="1" spans="1:11" ht="25.5" x14ac:dyDescent="0.15">
      <c r="A1" s="48" t="s">
        <v>0</v>
      </c>
      <c r="B1" s="49" t="s">
        <v>5</v>
      </c>
      <c r="C1" s="49" t="s">
        <v>2</v>
      </c>
      <c r="D1" s="49" t="s">
        <v>3</v>
      </c>
      <c r="E1" s="49" t="s">
        <v>13</v>
      </c>
      <c r="F1" s="50" t="s">
        <v>11</v>
      </c>
      <c r="G1" s="50" t="s">
        <v>12</v>
      </c>
      <c r="H1" s="40" t="s">
        <v>17</v>
      </c>
      <c r="I1" s="41" t="s">
        <v>110</v>
      </c>
      <c r="J1" s="42" t="s">
        <v>10</v>
      </c>
      <c r="K1" s="4" t="s">
        <v>107</v>
      </c>
    </row>
    <row r="2" spans="1:11" ht="66.95" customHeight="1" x14ac:dyDescent="0.15">
      <c r="A2" s="51">
        <v>1</v>
      </c>
      <c r="B2" s="52">
        <v>7309000023</v>
      </c>
      <c r="C2" s="53" t="s">
        <v>111</v>
      </c>
      <c r="D2" s="54" t="s">
        <v>109</v>
      </c>
      <c r="E2" s="51">
        <v>2</v>
      </c>
      <c r="F2" s="55">
        <f>80*1.3*H2</f>
        <v>245440</v>
      </c>
      <c r="G2" s="56">
        <f t="shared" ref="G2" si="0">F2*E2</f>
        <v>490880</v>
      </c>
      <c r="H2" s="43">
        <v>2360</v>
      </c>
      <c r="I2" s="44">
        <v>2200</v>
      </c>
      <c r="J2" s="45"/>
    </row>
    <row r="3" spans="1:11" ht="12.75" x14ac:dyDescent="0.15">
      <c r="A3" s="51">
        <v>2</v>
      </c>
      <c r="B3" s="337" t="s">
        <v>7</v>
      </c>
      <c r="C3" s="337"/>
      <c r="D3" s="337"/>
      <c r="E3" s="337"/>
      <c r="F3" s="337"/>
      <c r="G3" s="57">
        <f>SUM(G2:G2)</f>
        <v>490880</v>
      </c>
      <c r="H3" s="46"/>
      <c r="I3" s="46"/>
      <c r="J3" s="47"/>
    </row>
    <row r="4" spans="1:11" ht="12.75" x14ac:dyDescent="0.15">
      <c r="A4" s="51">
        <v>3</v>
      </c>
      <c r="B4" s="337" t="s">
        <v>112</v>
      </c>
      <c r="C4" s="337"/>
      <c r="D4" s="337"/>
      <c r="E4" s="337"/>
      <c r="F4" s="337"/>
      <c r="G4" s="57">
        <f>G3*18%</f>
        <v>88358.399999999994</v>
      </c>
    </row>
    <row r="5" spans="1:11" ht="12.75" x14ac:dyDescent="0.15">
      <c r="A5" s="51">
        <v>4</v>
      </c>
      <c r="B5" s="337" t="s">
        <v>8</v>
      </c>
      <c r="C5" s="337"/>
      <c r="D5" s="337"/>
      <c r="E5" s="337"/>
      <c r="F5" s="337"/>
      <c r="G5" s="57">
        <f>G4+G3</f>
        <v>579238.40000000002</v>
      </c>
      <c r="I5" s="12">
        <f>1800/6.3</f>
        <v>285.71428571428572</v>
      </c>
    </row>
    <row r="6" spans="1:11" ht="12.75" x14ac:dyDescent="0.15">
      <c r="A6" s="338"/>
      <c r="B6" s="339"/>
      <c r="C6" s="339"/>
      <c r="D6" s="339"/>
      <c r="E6" s="339"/>
      <c r="F6" s="339"/>
      <c r="G6" s="340"/>
      <c r="I6" s="12">
        <f>I5*80*1.2</f>
        <v>27428.571428571431</v>
      </c>
    </row>
    <row r="7" spans="1:11" ht="146.25" customHeight="1" x14ac:dyDescent="0.15">
      <c r="A7" s="58" t="s">
        <v>9</v>
      </c>
      <c r="B7" s="335" t="s">
        <v>108</v>
      </c>
      <c r="C7" s="335"/>
      <c r="D7" s="335"/>
      <c r="E7" s="335"/>
      <c r="F7" s="335"/>
      <c r="G7" s="336"/>
    </row>
    <row r="8" spans="1:11" ht="12.75" x14ac:dyDescent="0.2">
      <c r="A8" s="59"/>
      <c r="B8" s="59"/>
      <c r="C8" s="59"/>
      <c r="D8" s="59"/>
      <c r="E8" s="59"/>
      <c r="F8" s="59"/>
      <c r="G8" s="59"/>
    </row>
    <row r="9" spans="1:11" ht="12.75" x14ac:dyDescent="0.2">
      <c r="A9" s="59"/>
      <c r="B9" s="59"/>
      <c r="C9" s="59"/>
      <c r="D9" s="59"/>
      <c r="E9" s="59"/>
      <c r="F9" s="59"/>
      <c r="G9" s="59"/>
    </row>
    <row r="10" spans="1:11" ht="12.75" x14ac:dyDescent="0.2">
      <c r="A10" s="59"/>
      <c r="B10" s="59"/>
      <c r="C10" s="59"/>
      <c r="D10" s="59"/>
      <c r="E10" s="59"/>
      <c r="F10" s="59"/>
      <c r="G10" s="59"/>
    </row>
    <row r="11" spans="1:11" ht="12.75" x14ac:dyDescent="0.2">
      <c r="A11" s="59"/>
      <c r="B11" s="59"/>
      <c r="C11" s="59"/>
      <c r="D11" s="59"/>
      <c r="E11" s="59"/>
      <c r="F11" s="59"/>
      <c r="G11" s="59"/>
    </row>
    <row r="12" spans="1:11" ht="12.75" x14ac:dyDescent="0.2">
      <c r="A12" s="59"/>
      <c r="B12" s="59"/>
      <c r="C12" s="59"/>
      <c r="D12" s="59"/>
      <c r="E12" s="59"/>
      <c r="F12" s="59"/>
      <c r="G12" s="59"/>
    </row>
    <row r="13" spans="1:11" ht="12.75" x14ac:dyDescent="0.2">
      <c r="A13" s="59"/>
      <c r="B13" s="59"/>
      <c r="C13" s="59"/>
      <c r="D13" s="59"/>
      <c r="E13" s="59"/>
      <c r="F13" s="59"/>
      <c r="G13" s="59"/>
    </row>
    <row r="14" spans="1:11" ht="12.75" x14ac:dyDescent="0.2">
      <c r="A14" s="59"/>
      <c r="B14" s="59"/>
      <c r="C14" s="59"/>
      <c r="D14" s="59"/>
      <c r="E14" s="59"/>
      <c r="F14" s="59"/>
      <c r="G14" s="59"/>
    </row>
  </sheetData>
  <mergeCells count="5">
    <mergeCell ref="B3:F3"/>
    <mergeCell ref="B4:F4"/>
    <mergeCell ref="B5:F5"/>
    <mergeCell ref="A6:G6"/>
    <mergeCell ref="B7:G7"/>
  </mergeCells>
  <printOptions horizontalCentered="1"/>
  <pageMargins left="0.25" right="0.25" top="0.5" bottom="0.5" header="0.3" footer="0.05"/>
  <pageSetup orientation="landscape" horizontalDpi="4294967292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R19"/>
  <sheetViews>
    <sheetView topLeftCell="E1" workbookViewId="0">
      <selection activeCell="Q6" sqref="Q6"/>
    </sheetView>
  </sheetViews>
  <sheetFormatPr defaultColWidth="8.7109375" defaultRowHeight="12.75" x14ac:dyDescent="0.2"/>
  <cols>
    <col min="1" max="1" width="8.85546875" style="59" bestFit="1" customWidth="1"/>
    <col min="2" max="2" width="8.7109375" style="59"/>
    <col min="3" max="3" width="11.5703125" style="61" bestFit="1" customWidth="1"/>
    <col min="4" max="4" width="63.42578125" style="59" customWidth="1"/>
    <col min="5" max="5" width="8.85546875" style="59" bestFit="1" customWidth="1"/>
    <col min="6" max="6" width="11.7109375" style="59" customWidth="1"/>
    <col min="7" max="8" width="14.85546875" style="59" customWidth="1"/>
    <col min="9" max="9" width="38.85546875" style="59" customWidth="1"/>
    <col min="10" max="15" width="8.7109375" style="59"/>
    <col min="16" max="16" width="8.7109375" style="77"/>
    <col min="17" max="18" width="10.5703125" style="77" bestFit="1" customWidth="1"/>
    <col min="19" max="16384" width="8.7109375" style="59"/>
  </cols>
  <sheetData>
    <row r="1" spans="1:18" ht="15" x14ac:dyDescent="0.25">
      <c r="A1" s="60"/>
      <c r="J1" s="62"/>
      <c r="M1" s="62"/>
    </row>
    <row r="2" spans="1:18" x14ac:dyDescent="0.2">
      <c r="A2" s="54" t="s">
        <v>113</v>
      </c>
      <c r="B2" s="51" t="s">
        <v>114</v>
      </c>
      <c r="C2" s="51" t="s">
        <v>115</v>
      </c>
      <c r="D2" s="63" t="s">
        <v>116</v>
      </c>
      <c r="E2" s="51" t="s">
        <v>13</v>
      </c>
      <c r="F2" s="51" t="s">
        <v>117</v>
      </c>
      <c r="G2" s="51" t="s">
        <v>118</v>
      </c>
      <c r="H2" s="51" t="s">
        <v>119</v>
      </c>
      <c r="I2" s="51" t="s">
        <v>120</v>
      </c>
      <c r="J2" s="64" t="s">
        <v>121</v>
      </c>
      <c r="K2" s="59" t="s">
        <v>156</v>
      </c>
      <c r="M2" s="64" t="s">
        <v>121</v>
      </c>
      <c r="N2" s="59" t="s">
        <v>161</v>
      </c>
      <c r="O2" s="59" t="s">
        <v>162</v>
      </c>
      <c r="P2" s="77" t="s">
        <v>14</v>
      </c>
    </row>
    <row r="3" spans="1:18" ht="77.25" thickBot="1" x14ac:dyDescent="0.25">
      <c r="A3" s="54">
        <v>1</v>
      </c>
      <c r="B3" s="51" t="s">
        <v>122</v>
      </c>
      <c r="C3" s="51">
        <v>5301000006</v>
      </c>
      <c r="D3" s="63" t="s">
        <v>123</v>
      </c>
      <c r="E3" s="51">
        <v>1</v>
      </c>
      <c r="F3" s="51" t="s">
        <v>124</v>
      </c>
      <c r="G3" s="65">
        <v>325000</v>
      </c>
      <c r="H3" s="65">
        <f>G3*E3</f>
        <v>325000</v>
      </c>
      <c r="I3" s="66" t="s">
        <v>125</v>
      </c>
      <c r="J3" s="75">
        <v>2700</v>
      </c>
      <c r="K3" s="59">
        <v>2906</v>
      </c>
      <c r="M3" s="64">
        <v>2700</v>
      </c>
      <c r="Q3" s="77">
        <f>J3*80*1.32</f>
        <v>285120</v>
      </c>
      <c r="R3" s="77">
        <f>Q3*E3</f>
        <v>285120</v>
      </c>
    </row>
    <row r="4" spans="1:18" ht="39" thickBot="1" x14ac:dyDescent="0.25">
      <c r="A4" s="54">
        <v>2</v>
      </c>
      <c r="B4" s="343" t="s">
        <v>122</v>
      </c>
      <c r="C4" s="54" t="s">
        <v>126</v>
      </c>
      <c r="D4" s="63" t="s">
        <v>127</v>
      </c>
      <c r="E4" s="51">
        <v>2</v>
      </c>
      <c r="F4" s="54" t="s">
        <v>168</v>
      </c>
      <c r="G4" s="65">
        <v>20000</v>
      </c>
      <c r="H4" s="65">
        <f t="shared" ref="H4:H16" si="0">G4*E4</f>
        <v>40000</v>
      </c>
      <c r="I4" s="67" t="s">
        <v>128</v>
      </c>
      <c r="J4" s="64">
        <v>40</v>
      </c>
      <c r="K4" s="59">
        <v>29.69</v>
      </c>
      <c r="M4" s="64" t="s">
        <v>157</v>
      </c>
      <c r="N4" s="59">
        <v>28</v>
      </c>
      <c r="O4" s="76">
        <v>20</v>
      </c>
      <c r="P4" s="77">
        <f>189/6</f>
        <v>31.5</v>
      </c>
      <c r="Q4" s="77">
        <f>O4*80*1.32*6</f>
        <v>12672</v>
      </c>
      <c r="R4" s="77">
        <f t="shared" ref="R4:R16" si="1">Q4*E4</f>
        <v>25344</v>
      </c>
    </row>
    <row r="5" spans="1:18" ht="39" thickBot="1" x14ac:dyDescent="0.25">
      <c r="A5" s="54">
        <v>3</v>
      </c>
      <c r="B5" s="343"/>
      <c r="C5" s="51">
        <v>5301000011</v>
      </c>
      <c r="D5" s="63" t="s">
        <v>129</v>
      </c>
      <c r="E5" s="51">
        <v>1</v>
      </c>
      <c r="F5" s="51" t="s">
        <v>124</v>
      </c>
      <c r="G5" s="65">
        <v>195000</v>
      </c>
      <c r="H5" s="65">
        <f t="shared" si="0"/>
        <v>195000</v>
      </c>
      <c r="I5" s="66" t="s">
        <v>125</v>
      </c>
      <c r="J5" s="75">
        <v>1500</v>
      </c>
      <c r="K5" s="59">
        <v>1712</v>
      </c>
      <c r="M5" s="64">
        <v>1500</v>
      </c>
      <c r="Q5" s="77">
        <f t="shared" ref="Q5" si="2">J5*80*1.32</f>
        <v>158400</v>
      </c>
      <c r="R5" s="77">
        <f t="shared" si="1"/>
        <v>158400</v>
      </c>
    </row>
    <row r="6" spans="1:18" ht="26.25" thickBot="1" x14ac:dyDescent="0.25">
      <c r="A6" s="54">
        <v>4</v>
      </c>
      <c r="B6" s="343"/>
      <c r="C6" s="51">
        <v>5209000242</v>
      </c>
      <c r="D6" s="63" t="s">
        <v>130</v>
      </c>
      <c r="E6" s="51">
        <v>20</v>
      </c>
      <c r="F6" s="51" t="s">
        <v>124</v>
      </c>
      <c r="G6" s="65">
        <v>1350</v>
      </c>
      <c r="H6" s="65">
        <f t="shared" si="0"/>
        <v>27000</v>
      </c>
      <c r="I6" s="68" t="s">
        <v>131</v>
      </c>
      <c r="J6" s="64">
        <v>12</v>
      </c>
      <c r="K6" s="59">
        <v>9.4499999999999993</v>
      </c>
      <c r="M6" s="64">
        <v>9.5</v>
      </c>
      <c r="N6" s="76">
        <v>8</v>
      </c>
      <c r="O6" s="59">
        <v>8</v>
      </c>
      <c r="P6" s="77">
        <f>55/6</f>
        <v>9.1666666666666661</v>
      </c>
      <c r="Q6" s="77">
        <f>N6*80*1.32</f>
        <v>844.80000000000007</v>
      </c>
      <c r="R6" s="77">
        <f t="shared" si="1"/>
        <v>16896</v>
      </c>
    </row>
    <row r="7" spans="1:18" ht="39" thickBot="1" x14ac:dyDescent="0.25">
      <c r="A7" s="54">
        <v>5</v>
      </c>
      <c r="B7" s="343"/>
      <c r="C7" s="51">
        <v>5301000003</v>
      </c>
      <c r="D7" s="63" t="s">
        <v>132</v>
      </c>
      <c r="E7" s="51">
        <v>2</v>
      </c>
      <c r="F7" s="51" t="s">
        <v>124</v>
      </c>
      <c r="G7" s="65">
        <v>4150</v>
      </c>
      <c r="H7" s="69">
        <f t="shared" si="0"/>
        <v>8300</v>
      </c>
      <c r="I7" s="68" t="s">
        <v>133</v>
      </c>
      <c r="J7" s="64">
        <v>120</v>
      </c>
      <c r="K7" s="59">
        <v>40.950000000000003</v>
      </c>
      <c r="M7" s="64">
        <v>120</v>
      </c>
      <c r="N7" s="76">
        <v>32</v>
      </c>
      <c r="O7" s="59">
        <v>50</v>
      </c>
      <c r="P7" s="77">
        <f>290/6</f>
        <v>48.333333333333336</v>
      </c>
      <c r="Q7" s="77">
        <f t="shared" ref="Q7:Q11" si="3">N7*80*1.32</f>
        <v>3379.2000000000003</v>
      </c>
      <c r="R7" s="77">
        <f t="shared" si="1"/>
        <v>6758.4000000000005</v>
      </c>
    </row>
    <row r="8" spans="1:18" ht="39" thickBot="1" x14ac:dyDescent="0.25">
      <c r="A8" s="54">
        <v>6</v>
      </c>
      <c r="B8" s="343"/>
      <c r="C8" s="51">
        <v>5301000003</v>
      </c>
      <c r="D8" s="63" t="s">
        <v>134</v>
      </c>
      <c r="E8" s="51" t="s">
        <v>135</v>
      </c>
      <c r="F8" s="51" t="s">
        <v>136</v>
      </c>
      <c r="G8" s="65">
        <v>4150</v>
      </c>
      <c r="H8" s="69">
        <v>29120</v>
      </c>
      <c r="I8" s="68" t="s">
        <v>133</v>
      </c>
      <c r="J8" s="64">
        <v>120</v>
      </c>
      <c r="K8" s="59">
        <v>42.99</v>
      </c>
      <c r="M8" s="64">
        <v>120</v>
      </c>
      <c r="N8" s="76">
        <v>32</v>
      </c>
      <c r="O8" s="59">
        <v>50</v>
      </c>
      <c r="P8" s="77">
        <f t="shared" ref="P8:P9" si="4">290/6</f>
        <v>48.333333333333336</v>
      </c>
      <c r="Q8" s="77">
        <f t="shared" si="3"/>
        <v>3379.2000000000003</v>
      </c>
      <c r="R8" s="77">
        <v>6758.4000000000005</v>
      </c>
    </row>
    <row r="9" spans="1:18" ht="39" thickBot="1" x14ac:dyDescent="0.25">
      <c r="A9" s="54">
        <v>7</v>
      </c>
      <c r="B9" s="343"/>
      <c r="C9" s="51">
        <v>5301000003</v>
      </c>
      <c r="D9" s="63" t="s">
        <v>137</v>
      </c>
      <c r="E9" s="51" t="s">
        <v>138</v>
      </c>
      <c r="F9" s="51" t="s">
        <v>139</v>
      </c>
      <c r="G9" s="65">
        <v>4150</v>
      </c>
      <c r="H9" s="69">
        <v>14560</v>
      </c>
      <c r="I9" s="68" t="s">
        <v>133</v>
      </c>
      <c r="J9" s="64">
        <v>120</v>
      </c>
      <c r="K9" s="59">
        <v>37.869999999999997</v>
      </c>
      <c r="M9" s="64">
        <v>120</v>
      </c>
      <c r="N9" s="76">
        <v>32</v>
      </c>
      <c r="O9" s="59">
        <v>50</v>
      </c>
      <c r="P9" s="77">
        <f t="shared" si="4"/>
        <v>48.333333333333336</v>
      </c>
      <c r="Q9" s="77">
        <f t="shared" si="3"/>
        <v>3379.2000000000003</v>
      </c>
      <c r="R9" s="77">
        <v>6758.4000000000005</v>
      </c>
    </row>
    <row r="10" spans="1:18" ht="38.25" x14ac:dyDescent="0.2">
      <c r="A10" s="54">
        <v>8</v>
      </c>
      <c r="B10" s="343"/>
      <c r="C10" s="51">
        <v>5301000020</v>
      </c>
      <c r="D10" s="70" t="s">
        <v>140</v>
      </c>
      <c r="E10" s="51">
        <v>10</v>
      </c>
      <c r="F10" s="51" t="s">
        <v>124</v>
      </c>
      <c r="G10" s="65">
        <v>900</v>
      </c>
      <c r="H10" s="65">
        <f t="shared" si="0"/>
        <v>9000</v>
      </c>
      <c r="I10" s="71" t="s">
        <v>141</v>
      </c>
      <c r="J10" s="64">
        <v>20</v>
      </c>
      <c r="K10" s="59">
        <v>8.1999999999999993</v>
      </c>
      <c r="M10" s="64">
        <v>14</v>
      </c>
      <c r="N10" s="76">
        <v>4.8</v>
      </c>
      <c r="O10" s="59">
        <v>8</v>
      </c>
      <c r="P10" s="77">
        <f>50/6</f>
        <v>8.3333333333333339</v>
      </c>
      <c r="Q10" s="77">
        <f t="shared" si="3"/>
        <v>506.88</v>
      </c>
      <c r="R10" s="77">
        <f t="shared" si="1"/>
        <v>5068.8</v>
      </c>
    </row>
    <row r="11" spans="1:18" ht="38.25" x14ac:dyDescent="0.2">
      <c r="A11" s="54">
        <v>9</v>
      </c>
      <c r="B11" s="343"/>
      <c r="C11" s="51">
        <v>5301000021</v>
      </c>
      <c r="D11" s="70" t="s">
        <v>142</v>
      </c>
      <c r="E11" s="51">
        <v>10</v>
      </c>
      <c r="F11" s="51" t="s">
        <v>124</v>
      </c>
      <c r="G11" s="65">
        <v>800</v>
      </c>
      <c r="H11" s="65">
        <f t="shared" si="0"/>
        <v>8000</v>
      </c>
      <c r="I11" s="71" t="s">
        <v>143</v>
      </c>
      <c r="J11" s="64">
        <v>5</v>
      </c>
      <c r="K11" s="59">
        <v>7.2</v>
      </c>
      <c r="M11" s="64">
        <v>5</v>
      </c>
      <c r="N11" s="76">
        <v>3</v>
      </c>
      <c r="O11" s="59">
        <v>4</v>
      </c>
      <c r="P11" s="77">
        <f>35/6</f>
        <v>5.833333333333333</v>
      </c>
      <c r="Q11" s="77">
        <f t="shared" si="3"/>
        <v>316.8</v>
      </c>
      <c r="R11" s="77">
        <f t="shared" si="1"/>
        <v>3168</v>
      </c>
    </row>
    <row r="12" spans="1:18" ht="51.75" thickBot="1" x14ac:dyDescent="0.25">
      <c r="A12" s="54">
        <v>10</v>
      </c>
      <c r="B12" s="72"/>
      <c r="C12" s="54" t="s">
        <v>144</v>
      </c>
      <c r="D12" s="63" t="s">
        <v>145</v>
      </c>
      <c r="E12" s="51">
        <v>1</v>
      </c>
      <c r="F12" s="54" t="s">
        <v>168</v>
      </c>
      <c r="G12" s="65">
        <v>24000</v>
      </c>
      <c r="H12" s="65">
        <f t="shared" si="0"/>
        <v>24000</v>
      </c>
      <c r="I12" s="68" t="s">
        <v>128</v>
      </c>
      <c r="J12" s="64">
        <v>80</v>
      </c>
      <c r="K12" s="59">
        <v>39.9</v>
      </c>
      <c r="M12" s="64" t="s">
        <v>158</v>
      </c>
      <c r="N12" s="59">
        <v>38</v>
      </c>
      <c r="O12" s="76">
        <v>34</v>
      </c>
      <c r="P12" s="77">
        <f>225/6</f>
        <v>37.5</v>
      </c>
      <c r="Q12" s="77">
        <f t="shared" ref="Q12:Q14" si="5">O12*80*1.32*6</f>
        <v>21542.400000000001</v>
      </c>
      <c r="R12" s="77">
        <f t="shared" si="1"/>
        <v>21542.400000000001</v>
      </c>
    </row>
    <row r="13" spans="1:18" ht="39" thickBot="1" x14ac:dyDescent="0.25">
      <c r="A13" s="54">
        <v>11</v>
      </c>
      <c r="B13" s="72"/>
      <c r="C13" s="54" t="s">
        <v>146</v>
      </c>
      <c r="D13" s="63" t="s">
        <v>147</v>
      </c>
      <c r="E13" s="51">
        <v>1</v>
      </c>
      <c r="F13" s="54" t="s">
        <v>168</v>
      </c>
      <c r="G13" s="65">
        <v>23000</v>
      </c>
      <c r="H13" s="65">
        <f t="shared" si="0"/>
        <v>23000</v>
      </c>
      <c r="I13" s="68" t="s">
        <v>128</v>
      </c>
      <c r="J13" s="64">
        <v>40</v>
      </c>
      <c r="K13" s="59">
        <v>20.47</v>
      </c>
      <c r="M13" s="64" t="s">
        <v>159</v>
      </c>
      <c r="N13" s="59">
        <v>20</v>
      </c>
      <c r="O13" s="76">
        <v>25</v>
      </c>
      <c r="P13" s="77">
        <f>Q13/6</f>
        <v>2640</v>
      </c>
      <c r="Q13" s="77">
        <f t="shared" si="5"/>
        <v>15840</v>
      </c>
      <c r="R13" s="77">
        <f t="shared" si="1"/>
        <v>15840</v>
      </c>
    </row>
    <row r="14" spans="1:18" ht="51.75" thickBot="1" x14ac:dyDescent="0.25">
      <c r="A14" s="54">
        <v>12</v>
      </c>
      <c r="B14" s="72"/>
      <c r="C14" s="54" t="s">
        <v>148</v>
      </c>
      <c r="D14" s="63" t="s">
        <v>149</v>
      </c>
      <c r="E14" s="51">
        <v>1</v>
      </c>
      <c r="F14" s="54" t="s">
        <v>168</v>
      </c>
      <c r="G14" s="65">
        <v>22000</v>
      </c>
      <c r="H14" s="65">
        <f t="shared" si="0"/>
        <v>22000</v>
      </c>
      <c r="I14" s="68" t="s">
        <v>128</v>
      </c>
      <c r="J14" s="64">
        <v>30</v>
      </c>
      <c r="K14" s="59">
        <v>16.38</v>
      </c>
      <c r="M14" s="64" t="s">
        <v>160</v>
      </c>
      <c r="N14" s="59">
        <v>16</v>
      </c>
      <c r="O14" s="76">
        <v>15</v>
      </c>
      <c r="P14" s="77">
        <f>Q14/6</f>
        <v>1584</v>
      </c>
      <c r="Q14" s="77">
        <f t="shared" si="5"/>
        <v>9504</v>
      </c>
      <c r="R14" s="77">
        <f t="shared" si="1"/>
        <v>9504</v>
      </c>
    </row>
    <row r="15" spans="1:18" ht="25.5" x14ac:dyDescent="0.2">
      <c r="A15" s="54">
        <v>13</v>
      </c>
      <c r="B15" s="72"/>
      <c r="C15" s="51"/>
      <c r="D15" s="63" t="s">
        <v>150</v>
      </c>
      <c r="E15" s="51">
        <v>2</v>
      </c>
      <c r="F15" s="51" t="s">
        <v>124</v>
      </c>
      <c r="G15" s="65">
        <v>8000</v>
      </c>
      <c r="H15" s="65">
        <f t="shared" si="0"/>
        <v>16000</v>
      </c>
      <c r="I15" s="73" t="s">
        <v>151</v>
      </c>
      <c r="J15" s="64">
        <v>160</v>
      </c>
      <c r="K15" s="59">
        <v>79.849999999999994</v>
      </c>
      <c r="M15" s="64">
        <v>110</v>
      </c>
      <c r="N15" s="59">
        <v>80</v>
      </c>
      <c r="O15" s="76">
        <v>63</v>
      </c>
      <c r="P15" s="77">
        <f>445/6</f>
        <v>74.166666666666671</v>
      </c>
      <c r="Q15" s="77">
        <f>O15*80*1.32</f>
        <v>6652.8</v>
      </c>
      <c r="R15" s="77">
        <f t="shared" si="1"/>
        <v>13305.6</v>
      </c>
    </row>
    <row r="16" spans="1:18" ht="25.5" x14ac:dyDescent="0.2">
      <c r="A16" s="54">
        <v>14</v>
      </c>
      <c r="B16" s="72"/>
      <c r="C16" s="51"/>
      <c r="D16" s="63" t="s">
        <v>152</v>
      </c>
      <c r="E16" s="51">
        <v>1</v>
      </c>
      <c r="F16" s="51" t="s">
        <v>153</v>
      </c>
      <c r="G16" s="65">
        <v>10000</v>
      </c>
      <c r="H16" s="65">
        <f t="shared" si="0"/>
        <v>10000</v>
      </c>
      <c r="I16" s="74" t="s">
        <v>151</v>
      </c>
      <c r="J16" s="64">
        <v>255</v>
      </c>
      <c r="K16" s="59">
        <v>105.8</v>
      </c>
      <c r="M16" s="64">
        <v>215</v>
      </c>
      <c r="N16" s="59">
        <v>95</v>
      </c>
      <c r="O16" s="76">
        <v>85</v>
      </c>
      <c r="P16" s="77">
        <f>445/6</f>
        <v>74.166666666666671</v>
      </c>
      <c r="Q16" s="77">
        <f>O16*80*1.32</f>
        <v>8976</v>
      </c>
      <c r="R16" s="77">
        <f t="shared" si="1"/>
        <v>8976</v>
      </c>
    </row>
    <row r="17" spans="1:8" x14ac:dyDescent="0.2">
      <c r="A17" s="50">
        <v>15</v>
      </c>
      <c r="B17" s="341" t="s">
        <v>154</v>
      </c>
      <c r="C17" s="341"/>
      <c r="D17" s="341"/>
      <c r="E17" s="341"/>
      <c r="F17" s="341"/>
      <c r="G17" s="342">
        <f>SUM(H3:H16)</f>
        <v>750980</v>
      </c>
      <c r="H17" s="342"/>
    </row>
    <row r="18" spans="1:8" x14ac:dyDescent="0.2">
      <c r="A18" s="50">
        <v>16</v>
      </c>
      <c r="B18" s="341" t="s">
        <v>155</v>
      </c>
      <c r="C18" s="341"/>
      <c r="D18" s="341"/>
      <c r="E18" s="341"/>
      <c r="F18" s="341"/>
      <c r="G18" s="342">
        <f>G17*18%</f>
        <v>135176.4</v>
      </c>
      <c r="H18" s="342"/>
    </row>
    <row r="19" spans="1:8" x14ac:dyDescent="0.2">
      <c r="A19" s="50">
        <v>18</v>
      </c>
      <c r="B19" s="341" t="s">
        <v>154</v>
      </c>
      <c r="C19" s="341"/>
      <c r="D19" s="341"/>
      <c r="E19" s="341"/>
      <c r="F19" s="341"/>
      <c r="G19" s="342">
        <f>SUM(G17:H18)</f>
        <v>886156.4</v>
      </c>
      <c r="H19" s="342"/>
    </row>
  </sheetData>
  <mergeCells count="7">
    <mergeCell ref="B19:F19"/>
    <mergeCell ref="G19:H19"/>
    <mergeCell ref="B4:B11"/>
    <mergeCell ref="B17:F17"/>
    <mergeCell ref="G17:H17"/>
    <mergeCell ref="B18:F18"/>
    <mergeCell ref="G18:H18"/>
  </mergeCells>
  <pageMargins left="0.70866141732283472" right="0.70866141732283472" top="0.74803149606299213" bottom="0.74803149606299213" header="0.31496062992125984" footer="0.31496062992125984"/>
  <pageSetup scale="46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14"/>
  <sheetViews>
    <sheetView view="pageBreakPreview" zoomScaleSheetLayoutView="100" workbookViewId="0">
      <selection activeCell="A6" sqref="A6:G6"/>
    </sheetView>
  </sheetViews>
  <sheetFormatPr defaultColWidth="9.140625" defaultRowHeight="11.25" x14ac:dyDescent="0.15"/>
  <cols>
    <col min="1" max="1" width="5.85546875" style="4" bestFit="1" customWidth="1"/>
    <col min="2" max="2" width="12.5703125" style="4" customWidth="1"/>
    <col min="3" max="3" width="50.42578125" style="4" customWidth="1"/>
    <col min="4" max="4" width="5" style="4" bestFit="1" customWidth="1"/>
    <col min="5" max="5" width="6.28515625" style="4" bestFit="1" customWidth="1"/>
    <col min="6" max="6" width="11.5703125" style="4" bestFit="1" customWidth="1"/>
    <col min="7" max="7" width="16.5703125" style="4" bestFit="1" customWidth="1"/>
    <col min="8" max="8" width="9.140625" style="1"/>
    <col min="9" max="9" width="10.5703125" style="12" bestFit="1" customWidth="1"/>
    <col min="10" max="10" width="13.28515625" style="4" bestFit="1" customWidth="1"/>
    <col min="11" max="16384" width="9.140625" style="4"/>
  </cols>
  <sheetData>
    <row r="1" spans="1:11" ht="25.5" x14ac:dyDescent="0.15">
      <c r="A1" s="48" t="s">
        <v>0</v>
      </c>
      <c r="B1" s="49" t="s">
        <v>5</v>
      </c>
      <c r="C1" s="49" t="s">
        <v>2</v>
      </c>
      <c r="D1" s="49" t="s">
        <v>3</v>
      </c>
      <c r="E1" s="49" t="s">
        <v>13</v>
      </c>
      <c r="F1" s="50" t="s">
        <v>11</v>
      </c>
      <c r="G1" s="50" t="s">
        <v>12</v>
      </c>
      <c r="H1" s="40" t="s">
        <v>17</v>
      </c>
      <c r="I1" s="41" t="s">
        <v>110</v>
      </c>
      <c r="J1" s="42" t="s">
        <v>10</v>
      </c>
      <c r="K1" s="4" t="s">
        <v>107</v>
      </c>
    </row>
    <row r="2" spans="1:11" ht="66.95" customHeight="1" x14ac:dyDescent="0.15">
      <c r="A2" s="51">
        <v>1</v>
      </c>
      <c r="B2" s="52">
        <v>7306000030</v>
      </c>
      <c r="C2" s="53" t="s">
        <v>169</v>
      </c>
      <c r="D2" s="54" t="s">
        <v>109</v>
      </c>
      <c r="E2" s="51">
        <v>4</v>
      </c>
      <c r="F2" s="55">
        <f>80*1.3*H2</f>
        <v>52000</v>
      </c>
      <c r="G2" s="56">
        <f t="shared" ref="G2" si="0">F2*E2</f>
        <v>208000</v>
      </c>
      <c r="H2" s="43">
        <v>500</v>
      </c>
      <c r="I2" s="44">
        <v>450</v>
      </c>
      <c r="J2" s="45"/>
    </row>
    <row r="3" spans="1:11" ht="12.75" x14ac:dyDescent="0.15">
      <c r="A3" s="51">
        <v>2</v>
      </c>
      <c r="B3" s="337" t="s">
        <v>7</v>
      </c>
      <c r="C3" s="337"/>
      <c r="D3" s="337"/>
      <c r="E3" s="337"/>
      <c r="F3" s="337"/>
      <c r="G3" s="57">
        <f>SUM(G2:G2)</f>
        <v>208000</v>
      </c>
      <c r="H3" s="46"/>
      <c r="I3" s="46"/>
      <c r="J3" s="47"/>
    </row>
    <row r="4" spans="1:11" ht="12.75" x14ac:dyDescent="0.15">
      <c r="A4" s="51">
        <v>3</v>
      </c>
      <c r="B4" s="337" t="s">
        <v>112</v>
      </c>
      <c r="C4" s="337"/>
      <c r="D4" s="337"/>
      <c r="E4" s="337"/>
      <c r="F4" s="337"/>
      <c r="G4" s="57">
        <f>G3*18%</f>
        <v>37440</v>
      </c>
    </row>
    <row r="5" spans="1:11" ht="12.75" x14ac:dyDescent="0.15">
      <c r="A5" s="51">
        <v>4</v>
      </c>
      <c r="B5" s="337" t="s">
        <v>8</v>
      </c>
      <c r="C5" s="337"/>
      <c r="D5" s="337"/>
      <c r="E5" s="337"/>
      <c r="F5" s="337"/>
      <c r="G5" s="57">
        <f>G4+G3</f>
        <v>245440</v>
      </c>
      <c r="I5" s="12">
        <f>1800/6.3</f>
        <v>285.71428571428572</v>
      </c>
    </row>
    <row r="6" spans="1:11" ht="12.75" x14ac:dyDescent="0.15">
      <c r="A6" s="338"/>
      <c r="B6" s="339"/>
      <c r="C6" s="339"/>
      <c r="D6" s="339"/>
      <c r="E6" s="339"/>
      <c r="F6" s="339"/>
      <c r="G6" s="340"/>
      <c r="I6" s="12">
        <f>I5*80*1.2</f>
        <v>27428.571428571431</v>
      </c>
    </row>
    <row r="7" spans="1:11" ht="146.25" customHeight="1" x14ac:dyDescent="0.15">
      <c r="A7" s="58" t="s">
        <v>9</v>
      </c>
      <c r="B7" s="335" t="s">
        <v>108</v>
      </c>
      <c r="C7" s="335"/>
      <c r="D7" s="335"/>
      <c r="E7" s="335"/>
      <c r="F7" s="335"/>
      <c r="G7" s="336"/>
    </row>
    <row r="8" spans="1:11" ht="12.75" x14ac:dyDescent="0.2">
      <c r="A8" s="59"/>
      <c r="B8" s="59"/>
      <c r="C8" s="59"/>
      <c r="D8" s="59"/>
      <c r="E8" s="59"/>
      <c r="F8" s="59"/>
      <c r="G8" s="59"/>
    </row>
    <row r="9" spans="1:11" ht="12.75" x14ac:dyDescent="0.2">
      <c r="A9" s="59"/>
      <c r="B9" s="59"/>
      <c r="C9" s="59"/>
      <c r="D9" s="59"/>
      <c r="E9" s="59"/>
      <c r="F9" s="59"/>
      <c r="G9" s="59"/>
    </row>
    <row r="10" spans="1:11" ht="12.75" x14ac:dyDescent="0.2">
      <c r="A10" s="59"/>
      <c r="B10" s="59"/>
      <c r="C10" s="59"/>
      <c r="D10" s="59"/>
      <c r="E10" s="59"/>
      <c r="F10" s="59"/>
      <c r="G10" s="59"/>
    </row>
    <row r="11" spans="1:11" ht="12.75" x14ac:dyDescent="0.2">
      <c r="A11" s="59"/>
      <c r="B11" s="59"/>
      <c r="C11" s="59"/>
      <c r="D11" s="59"/>
      <c r="E11" s="59"/>
      <c r="F11" s="59"/>
      <c r="G11" s="59"/>
    </row>
    <row r="12" spans="1:11" ht="12.75" x14ac:dyDescent="0.2">
      <c r="A12" s="59"/>
      <c r="B12" s="59"/>
      <c r="C12" s="59"/>
      <c r="D12" s="59"/>
      <c r="E12" s="59"/>
      <c r="F12" s="59"/>
      <c r="G12" s="59"/>
    </row>
    <row r="13" spans="1:11" ht="12.75" x14ac:dyDescent="0.2">
      <c r="A13" s="59"/>
      <c r="B13" s="59"/>
      <c r="C13" s="59"/>
      <c r="D13" s="59"/>
      <c r="E13" s="59"/>
      <c r="F13" s="59"/>
      <c r="G13" s="59"/>
    </row>
    <row r="14" spans="1:11" ht="12.75" x14ac:dyDescent="0.2">
      <c r="A14" s="59"/>
      <c r="B14" s="59"/>
      <c r="C14" s="59"/>
      <c r="D14" s="59"/>
      <c r="E14" s="59"/>
      <c r="F14" s="59"/>
      <c r="G14" s="59"/>
    </row>
  </sheetData>
  <mergeCells count="5">
    <mergeCell ref="B3:F3"/>
    <mergeCell ref="B4:F4"/>
    <mergeCell ref="B5:F5"/>
    <mergeCell ref="A6:G6"/>
    <mergeCell ref="B7:G7"/>
  </mergeCells>
  <printOptions horizontalCentered="1"/>
  <pageMargins left="0.25" right="0.25" top="0.5" bottom="0.5" header="0.3" footer="0.05"/>
  <pageSetup orientation="landscape" horizontalDpi="4294967292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17"/>
  <sheetViews>
    <sheetView view="pageBreakPreview" zoomScaleSheetLayoutView="100" workbookViewId="0">
      <selection activeCell="C3" sqref="C3"/>
    </sheetView>
  </sheetViews>
  <sheetFormatPr defaultColWidth="9.140625" defaultRowHeight="11.25" x14ac:dyDescent="0.15"/>
  <cols>
    <col min="1" max="1" width="5.85546875" style="4" bestFit="1" customWidth="1"/>
    <col min="2" max="2" width="12.5703125" style="4" customWidth="1"/>
    <col min="3" max="3" width="50.42578125" style="4" customWidth="1"/>
    <col min="4" max="4" width="5" style="4" bestFit="1" customWidth="1"/>
    <col min="5" max="5" width="6.28515625" style="4" bestFit="1" customWidth="1"/>
    <col min="6" max="6" width="11.5703125" style="4" bestFit="1" customWidth="1"/>
    <col min="7" max="7" width="16.5703125" style="4" bestFit="1" customWidth="1"/>
    <col min="8" max="8" width="9.140625" style="1"/>
    <col min="9" max="9" width="10.5703125" style="12" bestFit="1" customWidth="1"/>
    <col min="10" max="10" width="13.28515625" style="4" bestFit="1" customWidth="1"/>
    <col min="11" max="16384" width="9.140625" style="4"/>
  </cols>
  <sheetData>
    <row r="1" spans="1:11" ht="25.5" x14ac:dyDescent="0.15">
      <c r="A1" s="48" t="s">
        <v>0</v>
      </c>
      <c r="B1" s="49" t="s">
        <v>5</v>
      </c>
      <c r="C1" s="49" t="s">
        <v>2</v>
      </c>
      <c r="D1" s="49" t="s">
        <v>3</v>
      </c>
      <c r="E1" s="49" t="s">
        <v>13</v>
      </c>
      <c r="F1" s="50" t="s">
        <v>11</v>
      </c>
      <c r="G1" s="50" t="s">
        <v>12</v>
      </c>
      <c r="H1" s="40" t="s">
        <v>17</v>
      </c>
      <c r="I1" s="41" t="s">
        <v>110</v>
      </c>
      <c r="J1" s="42" t="s">
        <v>10</v>
      </c>
      <c r="K1" s="4" t="s">
        <v>107</v>
      </c>
    </row>
    <row r="2" spans="1:11" ht="38.25" x14ac:dyDescent="0.15">
      <c r="A2" s="51">
        <v>1</v>
      </c>
      <c r="B2" s="52">
        <v>5201030028</v>
      </c>
      <c r="C2" s="53" t="s">
        <v>170</v>
      </c>
      <c r="D2" s="54" t="s">
        <v>109</v>
      </c>
      <c r="E2" s="51">
        <v>20</v>
      </c>
      <c r="F2" s="55">
        <v>11500</v>
      </c>
      <c r="G2" s="56">
        <f t="shared" ref="G2:G3" si="0">F2*E2</f>
        <v>230000</v>
      </c>
      <c r="H2" s="43">
        <v>135</v>
      </c>
      <c r="I2" s="44">
        <v>117</v>
      </c>
      <c r="J2" s="45"/>
    </row>
    <row r="3" spans="1:11" ht="25.5" x14ac:dyDescent="0.15">
      <c r="A3" s="51">
        <v>2</v>
      </c>
      <c r="B3" s="52">
        <v>5002990026</v>
      </c>
      <c r="C3" s="53" t="s">
        <v>171</v>
      </c>
      <c r="D3" s="54" t="s">
        <v>109</v>
      </c>
      <c r="E3" s="51">
        <v>10</v>
      </c>
      <c r="F3" s="55">
        <f>80*1.35*H3</f>
        <v>11880</v>
      </c>
      <c r="G3" s="56">
        <f t="shared" si="0"/>
        <v>118800</v>
      </c>
      <c r="H3" s="43">
        <v>110</v>
      </c>
      <c r="I3" s="44">
        <v>90</v>
      </c>
      <c r="J3" s="45"/>
    </row>
    <row r="4" spans="1:11" ht="76.5" x14ac:dyDescent="0.15">
      <c r="A4" s="51">
        <v>3</v>
      </c>
      <c r="B4" s="52">
        <v>5002000167</v>
      </c>
      <c r="C4" s="53" t="s">
        <v>172</v>
      </c>
      <c r="D4" s="54" t="s">
        <v>109</v>
      </c>
      <c r="E4" s="51">
        <v>2</v>
      </c>
      <c r="F4" s="55">
        <v>6500</v>
      </c>
      <c r="G4" s="56">
        <f t="shared" ref="G4" si="1">F4*E4</f>
        <v>13000</v>
      </c>
      <c r="H4" s="43">
        <v>65</v>
      </c>
      <c r="I4" s="44">
        <v>35</v>
      </c>
      <c r="J4" s="45"/>
    </row>
    <row r="5" spans="1:11" ht="66.95" customHeight="1" x14ac:dyDescent="0.15">
      <c r="A5" s="51">
        <v>4</v>
      </c>
      <c r="B5" s="52">
        <v>5002000266</v>
      </c>
      <c r="C5" s="53" t="s">
        <v>173</v>
      </c>
      <c r="D5" s="54" t="s">
        <v>109</v>
      </c>
      <c r="E5" s="51">
        <v>3</v>
      </c>
      <c r="F5" s="55">
        <v>7200</v>
      </c>
      <c r="G5" s="56">
        <f t="shared" ref="G5" si="2">F5*E5</f>
        <v>21600</v>
      </c>
      <c r="H5" s="43">
        <v>75</v>
      </c>
      <c r="I5" s="44">
        <v>45</v>
      </c>
      <c r="J5" s="45"/>
    </row>
    <row r="6" spans="1:11" ht="12.75" x14ac:dyDescent="0.15">
      <c r="A6" s="51">
        <v>5</v>
      </c>
      <c r="B6" s="337" t="s">
        <v>7</v>
      </c>
      <c r="C6" s="337"/>
      <c r="D6" s="337"/>
      <c r="E6" s="337"/>
      <c r="F6" s="337"/>
      <c r="G6" s="57">
        <f>SUM(G2:G5)</f>
        <v>383400</v>
      </c>
      <c r="H6" s="46"/>
      <c r="I6" s="46"/>
      <c r="J6" s="47"/>
    </row>
    <row r="7" spans="1:11" ht="12.75" x14ac:dyDescent="0.15">
      <c r="A7" s="51">
        <v>6</v>
      </c>
      <c r="B7" s="337" t="s">
        <v>112</v>
      </c>
      <c r="C7" s="337"/>
      <c r="D7" s="337"/>
      <c r="E7" s="337"/>
      <c r="F7" s="337"/>
      <c r="G7" s="57">
        <f>G6*18%</f>
        <v>69012</v>
      </c>
    </row>
    <row r="8" spans="1:11" ht="12.75" x14ac:dyDescent="0.15">
      <c r="A8" s="51">
        <v>7</v>
      </c>
      <c r="B8" s="337" t="s">
        <v>8</v>
      </c>
      <c r="C8" s="337"/>
      <c r="D8" s="337"/>
      <c r="E8" s="337"/>
      <c r="F8" s="337"/>
      <c r="G8" s="57">
        <f>G7+G6</f>
        <v>452412</v>
      </c>
      <c r="I8" s="12">
        <f>1800/6.3</f>
        <v>285.71428571428572</v>
      </c>
    </row>
    <row r="9" spans="1:11" ht="12.75" x14ac:dyDescent="0.15">
      <c r="A9" s="338"/>
      <c r="B9" s="339"/>
      <c r="C9" s="339"/>
      <c r="D9" s="339"/>
      <c r="E9" s="339"/>
      <c r="F9" s="339"/>
      <c r="G9" s="340"/>
      <c r="I9" s="12">
        <f>I8*80*1.2</f>
        <v>27428.571428571431</v>
      </c>
    </row>
    <row r="10" spans="1:11" ht="146.25" customHeight="1" x14ac:dyDescent="0.15">
      <c r="A10" s="58" t="s">
        <v>9</v>
      </c>
      <c r="B10" s="335" t="s">
        <v>108</v>
      </c>
      <c r="C10" s="335"/>
      <c r="D10" s="335"/>
      <c r="E10" s="335"/>
      <c r="F10" s="335"/>
      <c r="G10" s="336"/>
    </row>
    <row r="11" spans="1:11" ht="12.75" x14ac:dyDescent="0.2">
      <c r="A11" s="59"/>
      <c r="B11" s="59"/>
      <c r="C11" s="59"/>
      <c r="D11" s="59"/>
      <c r="E11" s="59"/>
      <c r="F11" s="59"/>
      <c r="G11" s="59"/>
    </row>
    <row r="12" spans="1:11" ht="12.75" x14ac:dyDescent="0.2">
      <c r="A12" s="59"/>
      <c r="B12" s="59"/>
      <c r="C12" s="59"/>
      <c r="D12" s="59"/>
      <c r="E12" s="59"/>
      <c r="F12" s="59"/>
      <c r="G12" s="59"/>
    </row>
    <row r="13" spans="1:11" ht="12.75" x14ac:dyDescent="0.2">
      <c r="A13" s="59"/>
      <c r="B13" s="59"/>
      <c r="C13" s="59"/>
      <c r="D13" s="59"/>
      <c r="E13" s="59"/>
      <c r="F13" s="59"/>
      <c r="G13" s="59"/>
    </row>
    <row r="14" spans="1:11" ht="12.75" x14ac:dyDescent="0.2">
      <c r="A14" s="59"/>
      <c r="B14" s="59"/>
      <c r="C14" s="59"/>
      <c r="D14" s="59"/>
      <c r="E14" s="59"/>
      <c r="F14" s="59"/>
      <c r="G14" s="59"/>
    </row>
    <row r="15" spans="1:11" ht="12.75" x14ac:dyDescent="0.2">
      <c r="A15" s="59"/>
      <c r="B15" s="59"/>
      <c r="C15" s="59"/>
      <c r="D15" s="59"/>
      <c r="E15" s="59"/>
      <c r="F15" s="59"/>
      <c r="G15" s="59"/>
    </row>
    <row r="16" spans="1:11" ht="12.75" x14ac:dyDescent="0.2">
      <c r="A16" s="59"/>
      <c r="B16" s="59"/>
      <c r="C16" s="59"/>
      <c r="D16" s="59"/>
      <c r="E16" s="59"/>
      <c r="F16" s="59"/>
      <c r="G16" s="59"/>
    </row>
    <row r="17" spans="1:7" ht="12.75" x14ac:dyDescent="0.2">
      <c r="A17" s="59"/>
      <c r="B17" s="59"/>
      <c r="C17" s="59"/>
      <c r="D17" s="59"/>
      <c r="E17" s="59"/>
      <c r="F17" s="59"/>
      <c r="G17" s="59"/>
    </row>
  </sheetData>
  <mergeCells count="5">
    <mergeCell ref="B6:F6"/>
    <mergeCell ref="B7:F7"/>
    <mergeCell ref="B8:F8"/>
    <mergeCell ref="A9:G9"/>
    <mergeCell ref="B10:G10"/>
  </mergeCells>
  <printOptions horizontalCentered="1"/>
  <pageMargins left="0.25" right="0.25" top="0.5" bottom="0.5" header="0.3" footer="0.05"/>
  <pageSetup orientation="landscape" horizontalDpi="4294967292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25"/>
  <sheetViews>
    <sheetView view="pageBreakPreview" topLeftCell="A7" zoomScaleSheetLayoutView="100" workbookViewId="0">
      <selection activeCell="C11" sqref="C11"/>
    </sheetView>
  </sheetViews>
  <sheetFormatPr defaultColWidth="9.140625" defaultRowHeight="11.25" x14ac:dyDescent="0.15"/>
  <cols>
    <col min="1" max="1" width="5.85546875" style="4" bestFit="1" customWidth="1"/>
    <col min="2" max="2" width="12.5703125" style="4" customWidth="1"/>
    <col min="3" max="3" width="50.42578125" style="4" customWidth="1"/>
    <col min="4" max="4" width="5" style="4" bestFit="1" customWidth="1"/>
    <col min="5" max="5" width="6.28515625" style="4" bestFit="1" customWidth="1"/>
    <col min="6" max="6" width="11.5703125" style="4" bestFit="1" customWidth="1"/>
    <col min="7" max="7" width="16.5703125" style="4" bestFit="1" customWidth="1"/>
    <col min="8" max="8" width="9.140625" style="1"/>
    <col min="9" max="9" width="10.5703125" style="12" bestFit="1" customWidth="1"/>
    <col min="10" max="10" width="13.28515625" style="4" bestFit="1" customWidth="1"/>
    <col min="11" max="16384" width="9.140625" style="4"/>
  </cols>
  <sheetData>
    <row r="1" spans="1:11" ht="25.5" x14ac:dyDescent="0.15">
      <c r="A1" s="48" t="s">
        <v>0</v>
      </c>
      <c r="B1" s="49" t="s">
        <v>5</v>
      </c>
      <c r="C1" s="49" t="s">
        <v>2</v>
      </c>
      <c r="D1" s="49" t="s">
        <v>3</v>
      </c>
      <c r="E1" s="49" t="s">
        <v>13</v>
      </c>
      <c r="F1" s="50" t="s">
        <v>11</v>
      </c>
      <c r="G1" s="50" t="s">
        <v>12</v>
      </c>
      <c r="H1" s="40" t="s">
        <v>17</v>
      </c>
      <c r="I1" s="41" t="s">
        <v>110</v>
      </c>
      <c r="J1" s="42" t="s">
        <v>10</v>
      </c>
      <c r="K1" s="4" t="s">
        <v>107</v>
      </c>
    </row>
    <row r="2" spans="1:11" ht="38.25" x14ac:dyDescent="0.15">
      <c r="A2" s="51">
        <v>1</v>
      </c>
      <c r="B2" s="52" t="s">
        <v>185</v>
      </c>
      <c r="C2" s="53" t="s">
        <v>174</v>
      </c>
      <c r="D2" s="54" t="s">
        <v>109</v>
      </c>
      <c r="E2" s="51">
        <v>9</v>
      </c>
      <c r="F2" s="55">
        <f>80*1.35*H2</f>
        <v>12960</v>
      </c>
      <c r="G2" s="56">
        <f t="shared" ref="G2:G9" si="0">F2*E2</f>
        <v>116640</v>
      </c>
      <c r="H2" s="43">
        <v>120</v>
      </c>
      <c r="I2" s="44"/>
      <c r="J2" s="45">
        <v>90</v>
      </c>
    </row>
    <row r="3" spans="1:11" ht="38.25" x14ac:dyDescent="0.15">
      <c r="A3" s="51">
        <v>2</v>
      </c>
      <c r="B3" s="52" t="s">
        <v>185</v>
      </c>
      <c r="C3" s="53" t="s">
        <v>175</v>
      </c>
      <c r="D3" s="54" t="s">
        <v>109</v>
      </c>
      <c r="E3" s="51">
        <v>9</v>
      </c>
      <c r="F3" s="55">
        <f>80*1.35*H3</f>
        <v>12312</v>
      </c>
      <c r="G3" s="56">
        <f t="shared" si="0"/>
        <v>110808</v>
      </c>
      <c r="H3" s="43">
        <v>114</v>
      </c>
      <c r="I3" s="44"/>
      <c r="J3" s="45">
        <v>84</v>
      </c>
    </row>
    <row r="4" spans="1:11" ht="38.25" x14ac:dyDescent="0.15">
      <c r="A4" s="51">
        <v>3</v>
      </c>
      <c r="B4" s="52" t="s">
        <v>185</v>
      </c>
      <c r="C4" s="53" t="s">
        <v>176</v>
      </c>
      <c r="D4" s="54" t="s">
        <v>109</v>
      </c>
      <c r="E4" s="51">
        <v>15</v>
      </c>
      <c r="F4" s="55">
        <f t="shared" ref="F4:F5" si="1">80*1.35*H4</f>
        <v>10368</v>
      </c>
      <c r="G4" s="56">
        <f t="shared" si="0"/>
        <v>155520</v>
      </c>
      <c r="H4" s="43">
        <v>96</v>
      </c>
      <c r="I4" s="44"/>
      <c r="J4" s="45">
        <v>70</v>
      </c>
    </row>
    <row r="5" spans="1:11" ht="38.25" x14ac:dyDescent="0.15">
      <c r="A5" s="51">
        <v>4</v>
      </c>
      <c r="B5" s="52" t="s">
        <v>185</v>
      </c>
      <c r="C5" s="53" t="s">
        <v>177</v>
      </c>
      <c r="D5" s="54" t="s">
        <v>109</v>
      </c>
      <c r="E5" s="51">
        <v>15</v>
      </c>
      <c r="F5" s="55">
        <f t="shared" si="1"/>
        <v>10368</v>
      </c>
      <c r="G5" s="56">
        <f t="shared" si="0"/>
        <v>155520</v>
      </c>
      <c r="H5" s="43">
        <v>96</v>
      </c>
      <c r="I5" s="44"/>
      <c r="J5" s="45">
        <v>70</v>
      </c>
    </row>
    <row r="6" spans="1:11" ht="38.25" x14ac:dyDescent="0.15">
      <c r="A6" s="51">
        <v>5</v>
      </c>
      <c r="B6" s="52" t="s">
        <v>185</v>
      </c>
      <c r="C6" s="53" t="s">
        <v>178</v>
      </c>
      <c r="D6" s="54" t="s">
        <v>109</v>
      </c>
      <c r="E6" s="51">
        <v>30</v>
      </c>
      <c r="F6" s="55">
        <f>80*1.35*H6</f>
        <v>9180</v>
      </c>
      <c r="G6" s="56">
        <f t="shared" si="0"/>
        <v>275400</v>
      </c>
      <c r="H6" s="43">
        <v>85</v>
      </c>
      <c r="I6" s="44"/>
      <c r="J6" s="45">
        <v>65</v>
      </c>
    </row>
    <row r="7" spans="1:11" ht="38.25" x14ac:dyDescent="0.15">
      <c r="A7" s="51">
        <v>6</v>
      </c>
      <c r="B7" s="52" t="s">
        <v>185</v>
      </c>
      <c r="C7" s="53" t="s">
        <v>179</v>
      </c>
      <c r="D7" s="54" t="s">
        <v>109</v>
      </c>
      <c r="E7" s="51">
        <v>30</v>
      </c>
      <c r="F7" s="55">
        <f>80*1.35*H7</f>
        <v>8640</v>
      </c>
      <c r="G7" s="56">
        <f t="shared" si="0"/>
        <v>259200</v>
      </c>
      <c r="H7" s="43">
        <v>80</v>
      </c>
      <c r="I7" s="44"/>
      <c r="J7" s="45">
        <v>60</v>
      </c>
    </row>
    <row r="8" spans="1:11" ht="38.25" x14ac:dyDescent="0.15">
      <c r="A8" s="51">
        <v>7</v>
      </c>
      <c r="B8" s="52" t="s">
        <v>185</v>
      </c>
      <c r="C8" s="53" t="s">
        <v>180</v>
      </c>
      <c r="D8" s="54" t="s">
        <v>109</v>
      </c>
      <c r="E8" s="51">
        <v>30</v>
      </c>
      <c r="F8" s="55">
        <f t="shared" ref="F8:F9" si="2">80*1.35*H8</f>
        <v>8640</v>
      </c>
      <c r="G8" s="56">
        <f t="shared" si="0"/>
        <v>259200</v>
      </c>
      <c r="H8" s="43">
        <v>80</v>
      </c>
      <c r="I8" s="44"/>
      <c r="J8" s="45">
        <v>60</v>
      </c>
    </row>
    <row r="9" spans="1:11" ht="38.25" x14ac:dyDescent="0.15">
      <c r="A9" s="51">
        <v>8</v>
      </c>
      <c r="B9" s="52" t="s">
        <v>185</v>
      </c>
      <c r="C9" s="53" t="s">
        <v>181</v>
      </c>
      <c r="D9" s="54" t="s">
        <v>109</v>
      </c>
      <c r="E9" s="51">
        <v>30</v>
      </c>
      <c r="F9" s="55">
        <f t="shared" si="2"/>
        <v>7020</v>
      </c>
      <c r="G9" s="56">
        <f t="shared" si="0"/>
        <v>210600</v>
      </c>
      <c r="H9" s="43">
        <v>65</v>
      </c>
      <c r="I9" s="44"/>
      <c r="J9" s="45">
        <v>50</v>
      </c>
    </row>
    <row r="10" spans="1:11" ht="38.25" x14ac:dyDescent="0.15">
      <c r="A10" s="51">
        <v>9</v>
      </c>
      <c r="B10" s="52" t="s">
        <v>185</v>
      </c>
      <c r="C10" s="53" t="s">
        <v>182</v>
      </c>
      <c r="D10" s="54" t="s">
        <v>109</v>
      </c>
      <c r="E10" s="51">
        <v>30</v>
      </c>
      <c r="F10" s="55">
        <f>80*1.35*H10</f>
        <v>7020</v>
      </c>
      <c r="G10" s="56">
        <f t="shared" ref="G10:G13" si="3">F10*E10</f>
        <v>210600</v>
      </c>
      <c r="H10" s="43">
        <v>65</v>
      </c>
      <c r="I10" s="44"/>
      <c r="J10" s="45">
        <v>45</v>
      </c>
    </row>
    <row r="11" spans="1:11" ht="38.25" x14ac:dyDescent="0.15">
      <c r="A11" s="51">
        <v>10</v>
      </c>
      <c r="B11" s="52" t="s">
        <v>185</v>
      </c>
      <c r="C11" s="53" t="s">
        <v>183</v>
      </c>
      <c r="D11" s="54" t="s">
        <v>109</v>
      </c>
      <c r="E11" s="51">
        <v>30</v>
      </c>
      <c r="F11" s="55">
        <f>80*1.35*H11</f>
        <v>5940</v>
      </c>
      <c r="G11" s="56">
        <f t="shared" si="3"/>
        <v>178200</v>
      </c>
      <c r="H11" s="43">
        <v>55</v>
      </c>
      <c r="I11" s="44"/>
      <c r="J11" s="45">
        <v>40</v>
      </c>
    </row>
    <row r="12" spans="1:11" ht="38.25" x14ac:dyDescent="0.15">
      <c r="A12" s="51">
        <v>11</v>
      </c>
      <c r="B12" s="52" t="s">
        <v>185</v>
      </c>
      <c r="C12" s="53" t="s">
        <v>184</v>
      </c>
      <c r="D12" s="54" t="s">
        <v>109</v>
      </c>
      <c r="E12" s="51">
        <v>30</v>
      </c>
      <c r="F12" s="55">
        <f t="shared" ref="F12:F13" si="4">80*1.35*H12</f>
        <v>5940</v>
      </c>
      <c r="G12" s="56">
        <f t="shared" si="3"/>
        <v>178200</v>
      </c>
      <c r="H12" s="43">
        <v>55</v>
      </c>
      <c r="I12" s="44"/>
      <c r="J12" s="45">
        <v>40</v>
      </c>
    </row>
    <row r="13" spans="1:11" ht="38.25" x14ac:dyDescent="0.15">
      <c r="A13" s="51">
        <v>12</v>
      </c>
      <c r="B13" s="52" t="s">
        <v>185</v>
      </c>
      <c r="C13" s="53" t="s">
        <v>184</v>
      </c>
      <c r="D13" s="54" t="s">
        <v>109</v>
      </c>
      <c r="E13" s="51">
        <v>30</v>
      </c>
      <c r="F13" s="55">
        <f t="shared" si="4"/>
        <v>5940</v>
      </c>
      <c r="G13" s="56">
        <f t="shared" si="3"/>
        <v>178200</v>
      </c>
      <c r="H13" s="43">
        <v>55</v>
      </c>
      <c r="I13" s="44"/>
      <c r="J13" s="45">
        <v>40</v>
      </c>
    </row>
    <row r="14" spans="1:11" ht="12.75" x14ac:dyDescent="0.15">
      <c r="A14" s="51">
        <v>13</v>
      </c>
      <c r="B14" s="337" t="s">
        <v>7</v>
      </c>
      <c r="C14" s="337"/>
      <c r="D14" s="337"/>
      <c r="E14" s="337"/>
      <c r="F14" s="337"/>
      <c r="G14" s="57">
        <f>SUM(G2:G13)</f>
        <v>2288088</v>
      </c>
      <c r="H14" s="46"/>
      <c r="I14" s="46"/>
      <c r="J14" s="47"/>
    </row>
    <row r="15" spans="1:11" ht="12.75" x14ac:dyDescent="0.15">
      <c r="A15" s="51">
        <v>14</v>
      </c>
      <c r="B15" s="337" t="s">
        <v>186</v>
      </c>
      <c r="C15" s="337"/>
      <c r="D15" s="337"/>
      <c r="E15" s="337"/>
      <c r="F15" s="337"/>
      <c r="G15" s="57">
        <f>G14*18%</f>
        <v>411855.83999999997</v>
      </c>
    </row>
    <row r="16" spans="1:11" ht="12.75" x14ac:dyDescent="0.15">
      <c r="A16" s="51">
        <v>15</v>
      </c>
      <c r="B16" s="337" t="s">
        <v>8</v>
      </c>
      <c r="C16" s="337"/>
      <c r="D16" s="337"/>
      <c r="E16" s="337"/>
      <c r="F16" s="337"/>
      <c r="G16" s="57">
        <f>G15+G14</f>
        <v>2699943.84</v>
      </c>
    </row>
    <row r="17" spans="1:11" ht="12.75" x14ac:dyDescent="0.15">
      <c r="A17" s="338"/>
      <c r="B17" s="339"/>
      <c r="C17" s="339"/>
      <c r="D17" s="339"/>
      <c r="E17" s="339"/>
      <c r="F17" s="339"/>
      <c r="G17" s="340"/>
    </row>
    <row r="18" spans="1:11" ht="140.25" x14ac:dyDescent="0.15">
      <c r="A18" s="58" t="s">
        <v>9</v>
      </c>
      <c r="B18" s="335" t="s">
        <v>108</v>
      </c>
      <c r="C18" s="335"/>
      <c r="D18" s="335"/>
      <c r="E18" s="335"/>
      <c r="F18" s="335"/>
      <c r="G18" s="336"/>
    </row>
    <row r="19" spans="1:11" ht="12.75" x14ac:dyDescent="0.2">
      <c r="A19" s="59"/>
      <c r="B19" s="59"/>
      <c r="C19" s="59"/>
      <c r="D19" s="59"/>
      <c r="E19" s="59"/>
      <c r="F19" s="59"/>
      <c r="G19" s="59"/>
    </row>
    <row r="20" spans="1:11" ht="12.75" x14ac:dyDescent="0.2">
      <c r="A20" s="59"/>
      <c r="B20" s="59"/>
      <c r="C20" s="59"/>
      <c r="D20" s="59"/>
      <c r="E20" s="59"/>
      <c r="F20" s="59"/>
      <c r="G20" s="59"/>
    </row>
    <row r="21" spans="1:11" ht="12.75" x14ac:dyDescent="0.2">
      <c r="A21" s="59"/>
      <c r="B21" s="59"/>
      <c r="C21" s="59"/>
      <c r="D21" s="59"/>
      <c r="E21" s="59"/>
      <c r="F21" s="59"/>
      <c r="G21" s="59"/>
    </row>
    <row r="22" spans="1:11" ht="12.75" x14ac:dyDescent="0.2">
      <c r="A22" s="59"/>
      <c r="B22" s="59"/>
      <c r="C22" s="59"/>
      <c r="D22" s="59"/>
      <c r="E22" s="59"/>
      <c r="F22" s="59"/>
      <c r="G22" s="59"/>
    </row>
    <row r="23" spans="1:11" ht="12.75" x14ac:dyDescent="0.2">
      <c r="A23" s="59"/>
      <c r="B23" s="59"/>
      <c r="C23" s="59"/>
      <c r="D23" s="59"/>
      <c r="E23" s="59"/>
      <c r="F23" s="59"/>
      <c r="G23" s="59"/>
    </row>
    <row r="24" spans="1:11" ht="12.75" x14ac:dyDescent="0.2">
      <c r="A24" s="59"/>
      <c r="B24" s="59"/>
      <c r="C24" s="59"/>
      <c r="D24" s="59"/>
      <c r="E24" s="59"/>
      <c r="F24" s="59"/>
      <c r="G24" s="59"/>
    </row>
    <row r="25" spans="1:11" s="1" customFormat="1" ht="12.75" x14ac:dyDescent="0.2">
      <c r="A25" s="59"/>
      <c r="B25" s="59"/>
      <c r="C25" s="59"/>
      <c r="D25" s="59"/>
      <c r="E25" s="59"/>
      <c r="F25" s="59"/>
      <c r="G25" s="59"/>
      <c r="I25" s="12"/>
      <c r="J25" s="4"/>
      <c r="K25" s="4"/>
    </row>
  </sheetData>
  <mergeCells count="5">
    <mergeCell ref="B14:F14"/>
    <mergeCell ref="B15:F15"/>
    <mergeCell ref="B16:F16"/>
    <mergeCell ref="A17:G17"/>
    <mergeCell ref="B18:G18"/>
  </mergeCells>
  <printOptions horizontalCentered="1"/>
  <pageMargins left="0.25" right="0.25" top="0.5" bottom="0.5" header="0.3" footer="0.05"/>
  <pageSetup orientation="landscape" horizontalDpi="4294967292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37"/>
  <sheetViews>
    <sheetView view="pageBreakPreview" topLeftCell="A23" zoomScaleSheetLayoutView="100" workbookViewId="0">
      <selection activeCell="B30" sqref="B30:G30"/>
    </sheetView>
  </sheetViews>
  <sheetFormatPr defaultColWidth="9.140625" defaultRowHeight="11.25" x14ac:dyDescent="0.15"/>
  <cols>
    <col min="1" max="1" width="5.85546875" style="4" bestFit="1" customWidth="1"/>
    <col min="2" max="2" width="12.5703125" style="4" customWidth="1"/>
    <col min="3" max="3" width="50.42578125" style="4" customWidth="1"/>
    <col min="4" max="4" width="5" style="4" bestFit="1" customWidth="1"/>
    <col min="5" max="5" width="6.28515625" style="4" bestFit="1" customWidth="1"/>
    <col min="6" max="6" width="11.5703125" style="4" bestFit="1" customWidth="1"/>
    <col min="7" max="7" width="16.5703125" style="4" bestFit="1" customWidth="1"/>
    <col min="8" max="8" width="9.140625" style="1"/>
    <col min="9" max="9" width="10.5703125" style="12" bestFit="1" customWidth="1"/>
    <col min="10" max="10" width="13.28515625" style="1" bestFit="1" customWidth="1"/>
    <col min="11" max="11" width="9.140625" style="99"/>
    <col min="12" max="16384" width="9.140625" style="4"/>
  </cols>
  <sheetData>
    <row r="1" spans="1:12" ht="25.5" x14ac:dyDescent="0.15">
      <c r="A1" s="48" t="s">
        <v>0</v>
      </c>
      <c r="B1" s="49" t="s">
        <v>5</v>
      </c>
      <c r="C1" s="49" t="s">
        <v>2</v>
      </c>
      <c r="D1" s="49" t="s">
        <v>3</v>
      </c>
      <c r="E1" s="49" t="s">
        <v>13</v>
      </c>
      <c r="F1" s="50" t="s">
        <v>11</v>
      </c>
      <c r="G1" s="50" t="s">
        <v>12</v>
      </c>
      <c r="H1" s="40" t="s">
        <v>17</v>
      </c>
      <c r="I1" s="41" t="s">
        <v>110</v>
      </c>
      <c r="J1" s="42" t="s">
        <v>10</v>
      </c>
      <c r="K1" s="99" t="s">
        <v>272</v>
      </c>
    </row>
    <row r="2" spans="1:12" ht="38.25" x14ac:dyDescent="0.15">
      <c r="A2" s="51">
        <v>1</v>
      </c>
      <c r="B2" s="52">
        <v>5209990110</v>
      </c>
      <c r="C2" s="53" t="s">
        <v>187</v>
      </c>
      <c r="D2" s="54" t="s">
        <v>109</v>
      </c>
      <c r="E2" s="51">
        <v>15</v>
      </c>
      <c r="F2" s="55">
        <v>1900</v>
      </c>
      <c r="G2" s="56">
        <f t="shared" ref="G2:G6" si="0">F2*E2</f>
        <v>28500</v>
      </c>
      <c r="H2" s="43">
        <f>J2</f>
        <v>18</v>
      </c>
      <c r="I2" s="44"/>
      <c r="J2" s="45">
        <v>18</v>
      </c>
      <c r="K2" s="99">
        <v>1905</v>
      </c>
      <c r="L2" s="4">
        <f>K2*E2</f>
        <v>28575</v>
      </c>
    </row>
    <row r="3" spans="1:12" ht="38.25" x14ac:dyDescent="0.15">
      <c r="A3" s="51">
        <v>2</v>
      </c>
      <c r="B3" s="52">
        <v>5209990111</v>
      </c>
      <c r="C3" s="53" t="s">
        <v>188</v>
      </c>
      <c r="D3" s="54" t="s">
        <v>109</v>
      </c>
      <c r="E3" s="51">
        <v>6</v>
      </c>
      <c r="F3" s="55">
        <v>2400</v>
      </c>
      <c r="G3" s="56">
        <f t="shared" si="0"/>
        <v>14400</v>
      </c>
      <c r="H3" s="43">
        <f t="shared" ref="H3:H25" si="1">J3</f>
        <v>25</v>
      </c>
      <c r="I3" s="44"/>
      <c r="J3" s="45">
        <v>25</v>
      </c>
      <c r="K3" s="99">
        <v>2430</v>
      </c>
      <c r="L3" s="4">
        <f t="shared" ref="L3:L25" si="2">K3*E3</f>
        <v>14580</v>
      </c>
    </row>
    <row r="4" spans="1:12" ht="38.25" x14ac:dyDescent="0.15">
      <c r="A4" s="51">
        <v>3</v>
      </c>
      <c r="B4" s="52">
        <v>5209990112</v>
      </c>
      <c r="C4" s="53" t="s">
        <v>189</v>
      </c>
      <c r="D4" s="54" t="s">
        <v>109</v>
      </c>
      <c r="E4" s="51">
        <v>20</v>
      </c>
      <c r="F4" s="55">
        <v>1450</v>
      </c>
      <c r="G4" s="56">
        <f t="shared" si="0"/>
        <v>29000</v>
      </c>
      <c r="H4" s="43">
        <f t="shared" si="1"/>
        <v>15</v>
      </c>
      <c r="I4" s="44"/>
      <c r="J4" s="45">
        <v>15</v>
      </c>
      <c r="K4" s="99">
        <v>1455</v>
      </c>
      <c r="L4" s="4">
        <f t="shared" si="2"/>
        <v>29100</v>
      </c>
    </row>
    <row r="5" spans="1:12" ht="38.25" x14ac:dyDescent="0.15">
      <c r="A5" s="51">
        <v>4</v>
      </c>
      <c r="B5" s="52">
        <v>5209990113</v>
      </c>
      <c r="C5" s="53" t="s">
        <v>190</v>
      </c>
      <c r="D5" s="54" t="s">
        <v>109</v>
      </c>
      <c r="E5" s="51">
        <v>10</v>
      </c>
      <c r="F5" s="55">
        <v>1980</v>
      </c>
      <c r="G5" s="56">
        <f t="shared" si="0"/>
        <v>19800</v>
      </c>
      <c r="H5" s="43">
        <f t="shared" si="1"/>
        <v>19</v>
      </c>
      <c r="I5" s="44"/>
      <c r="J5" s="45">
        <v>19</v>
      </c>
      <c r="K5" s="99">
        <v>1977</v>
      </c>
      <c r="L5" s="4">
        <f t="shared" si="2"/>
        <v>19770</v>
      </c>
    </row>
    <row r="6" spans="1:12" ht="38.25" x14ac:dyDescent="0.15">
      <c r="A6" s="51">
        <v>5</v>
      </c>
      <c r="B6" s="52">
        <v>5209990114</v>
      </c>
      <c r="C6" s="53" t="s">
        <v>191</v>
      </c>
      <c r="D6" s="54" t="s">
        <v>109</v>
      </c>
      <c r="E6" s="51">
        <v>20</v>
      </c>
      <c r="F6" s="55">
        <v>1300</v>
      </c>
      <c r="G6" s="56">
        <f t="shared" si="0"/>
        <v>26000</v>
      </c>
      <c r="H6" s="43">
        <f t="shared" si="1"/>
        <v>10</v>
      </c>
      <c r="I6" s="44"/>
      <c r="J6" s="45">
        <v>10</v>
      </c>
      <c r="K6" s="99">
        <v>1346</v>
      </c>
      <c r="L6" s="4">
        <f t="shared" si="2"/>
        <v>26920</v>
      </c>
    </row>
    <row r="7" spans="1:12" ht="38.25" x14ac:dyDescent="0.15">
      <c r="A7" s="51">
        <v>6</v>
      </c>
      <c r="B7" s="52">
        <v>5209990115</v>
      </c>
      <c r="C7" s="53" t="s">
        <v>192</v>
      </c>
      <c r="D7" s="54" t="s">
        <v>109</v>
      </c>
      <c r="E7" s="51">
        <v>10</v>
      </c>
      <c r="F7" s="55">
        <v>1900</v>
      </c>
      <c r="G7" s="56">
        <f t="shared" ref="G7:G17" si="3">F7*E7</f>
        <v>19000</v>
      </c>
      <c r="H7" s="43">
        <f t="shared" si="1"/>
        <v>13</v>
      </c>
      <c r="I7" s="44"/>
      <c r="J7" s="45">
        <v>13</v>
      </c>
      <c r="K7" s="99">
        <v>1906</v>
      </c>
      <c r="L7" s="4">
        <f t="shared" si="2"/>
        <v>19060</v>
      </c>
    </row>
    <row r="8" spans="1:12" ht="38.25" x14ac:dyDescent="0.15">
      <c r="A8" s="51">
        <v>7</v>
      </c>
      <c r="B8" s="52">
        <v>5209990116</v>
      </c>
      <c r="C8" s="53" t="s">
        <v>193</v>
      </c>
      <c r="D8" s="54" t="s">
        <v>109</v>
      </c>
      <c r="E8" s="51">
        <v>20</v>
      </c>
      <c r="F8" s="55">
        <v>1300</v>
      </c>
      <c r="G8" s="56">
        <f t="shared" si="3"/>
        <v>26000</v>
      </c>
      <c r="H8" s="43">
        <f t="shared" si="1"/>
        <v>9</v>
      </c>
      <c r="I8" s="44"/>
      <c r="J8" s="45">
        <v>9</v>
      </c>
      <c r="K8" s="99">
        <v>1318</v>
      </c>
      <c r="L8" s="4">
        <f t="shared" si="2"/>
        <v>26360</v>
      </c>
    </row>
    <row r="9" spans="1:12" ht="38.25" x14ac:dyDescent="0.15">
      <c r="A9" s="51">
        <v>8</v>
      </c>
      <c r="B9" s="52">
        <v>5209990117</v>
      </c>
      <c r="C9" s="53" t="s">
        <v>194</v>
      </c>
      <c r="D9" s="54" t="s">
        <v>109</v>
      </c>
      <c r="E9" s="51">
        <v>10</v>
      </c>
      <c r="F9" s="55">
        <v>1850</v>
      </c>
      <c r="G9" s="56">
        <f t="shared" si="3"/>
        <v>18500</v>
      </c>
      <c r="H9" s="43">
        <f t="shared" si="1"/>
        <v>10</v>
      </c>
      <c r="I9" s="44"/>
      <c r="J9" s="45">
        <v>10</v>
      </c>
      <c r="K9" s="99">
        <v>1863</v>
      </c>
      <c r="L9" s="4">
        <f t="shared" si="2"/>
        <v>18630</v>
      </c>
    </row>
    <row r="10" spans="1:12" ht="25.5" x14ac:dyDescent="0.15">
      <c r="A10" s="51">
        <v>9</v>
      </c>
      <c r="B10" s="52">
        <v>5209990060</v>
      </c>
      <c r="C10" s="53" t="s">
        <v>195</v>
      </c>
      <c r="D10" s="54" t="s">
        <v>109</v>
      </c>
      <c r="E10" s="51">
        <v>20</v>
      </c>
      <c r="F10" s="55">
        <v>2200</v>
      </c>
      <c r="G10" s="56">
        <f t="shared" si="3"/>
        <v>44000</v>
      </c>
      <c r="H10" s="43">
        <f t="shared" si="1"/>
        <v>23</v>
      </c>
      <c r="I10" s="44"/>
      <c r="J10" s="45">
        <v>23</v>
      </c>
      <c r="K10" s="99">
        <v>2214</v>
      </c>
      <c r="L10" s="4">
        <f t="shared" si="2"/>
        <v>44280</v>
      </c>
    </row>
    <row r="11" spans="1:12" ht="25.5" x14ac:dyDescent="0.15">
      <c r="A11" s="51">
        <v>10</v>
      </c>
      <c r="B11" s="52">
        <v>5209990048</v>
      </c>
      <c r="C11" s="53" t="s">
        <v>196</v>
      </c>
      <c r="D11" s="54" t="s">
        <v>109</v>
      </c>
      <c r="E11" s="51">
        <v>20</v>
      </c>
      <c r="F11" s="55">
        <v>1318</v>
      </c>
      <c r="G11" s="56">
        <f t="shared" si="3"/>
        <v>26360</v>
      </c>
      <c r="H11" s="43">
        <f t="shared" si="1"/>
        <v>15</v>
      </c>
      <c r="I11" s="44"/>
      <c r="J11" s="45">
        <v>15</v>
      </c>
      <c r="K11" s="99">
        <v>1327</v>
      </c>
      <c r="L11" s="4">
        <f t="shared" si="2"/>
        <v>26540</v>
      </c>
    </row>
    <row r="12" spans="1:12" ht="25.5" x14ac:dyDescent="0.15">
      <c r="A12" s="51">
        <v>11</v>
      </c>
      <c r="B12" s="52">
        <v>5209990049</v>
      </c>
      <c r="C12" s="53" t="s">
        <v>197</v>
      </c>
      <c r="D12" s="54" t="s">
        <v>109</v>
      </c>
      <c r="E12" s="51">
        <v>20</v>
      </c>
      <c r="F12" s="55">
        <v>930</v>
      </c>
      <c r="G12" s="56">
        <f t="shared" si="3"/>
        <v>18600</v>
      </c>
      <c r="H12" s="43">
        <f t="shared" si="1"/>
        <v>9</v>
      </c>
      <c r="I12" s="44"/>
      <c r="J12" s="45">
        <v>9</v>
      </c>
      <c r="K12" s="99">
        <v>938</v>
      </c>
      <c r="L12" s="4">
        <f t="shared" si="2"/>
        <v>18760</v>
      </c>
    </row>
    <row r="13" spans="1:12" ht="25.5" x14ac:dyDescent="0.15">
      <c r="A13" s="51">
        <v>12</v>
      </c>
      <c r="B13" s="52">
        <v>5209990050</v>
      </c>
      <c r="C13" s="53" t="s">
        <v>198</v>
      </c>
      <c r="D13" s="54" t="s">
        <v>109</v>
      </c>
      <c r="E13" s="51">
        <v>20</v>
      </c>
      <c r="F13" s="55">
        <v>1160</v>
      </c>
      <c r="G13" s="56">
        <f t="shared" si="3"/>
        <v>23200</v>
      </c>
      <c r="H13" s="43">
        <f t="shared" si="1"/>
        <v>12</v>
      </c>
      <c r="I13" s="44"/>
      <c r="J13" s="45">
        <v>12</v>
      </c>
      <c r="K13" s="99">
        <v>1165</v>
      </c>
      <c r="L13" s="4">
        <f t="shared" si="2"/>
        <v>23300</v>
      </c>
    </row>
    <row r="14" spans="1:12" ht="25.5" x14ac:dyDescent="0.15">
      <c r="A14" s="51">
        <v>13</v>
      </c>
      <c r="B14" s="52">
        <v>5209990051</v>
      </c>
      <c r="C14" s="53" t="s">
        <v>199</v>
      </c>
      <c r="D14" s="54" t="s">
        <v>109</v>
      </c>
      <c r="E14" s="51">
        <v>20</v>
      </c>
      <c r="F14" s="55">
        <v>830</v>
      </c>
      <c r="G14" s="56">
        <f t="shared" si="3"/>
        <v>16600</v>
      </c>
      <c r="H14" s="43">
        <f t="shared" si="1"/>
        <v>9</v>
      </c>
      <c r="I14" s="44"/>
      <c r="J14" s="45">
        <v>9</v>
      </c>
      <c r="K14" s="99">
        <v>833</v>
      </c>
      <c r="L14" s="4">
        <f t="shared" si="2"/>
        <v>16660</v>
      </c>
    </row>
    <row r="15" spans="1:12" ht="25.5" x14ac:dyDescent="0.15">
      <c r="A15" s="51">
        <v>14</v>
      </c>
      <c r="B15" s="52">
        <v>5209990052</v>
      </c>
      <c r="C15" s="53" t="s">
        <v>200</v>
      </c>
      <c r="D15" s="54" t="s">
        <v>109</v>
      </c>
      <c r="E15" s="51">
        <v>20</v>
      </c>
      <c r="F15" s="55">
        <v>1031</v>
      </c>
      <c r="G15" s="56">
        <f t="shared" si="3"/>
        <v>20620</v>
      </c>
      <c r="H15" s="43">
        <f t="shared" si="1"/>
        <v>11</v>
      </c>
      <c r="I15" s="44"/>
      <c r="J15" s="45">
        <v>11</v>
      </c>
      <c r="K15" s="99">
        <v>1036</v>
      </c>
      <c r="L15" s="4">
        <f t="shared" si="2"/>
        <v>20720</v>
      </c>
    </row>
    <row r="16" spans="1:12" ht="25.5" x14ac:dyDescent="0.15">
      <c r="A16" s="51">
        <v>15</v>
      </c>
      <c r="B16" s="52">
        <v>5209990053</v>
      </c>
      <c r="C16" s="53" t="s">
        <v>201</v>
      </c>
      <c r="D16" s="54" t="s">
        <v>109</v>
      </c>
      <c r="E16" s="51">
        <v>30</v>
      </c>
      <c r="F16" s="55">
        <v>710</v>
      </c>
      <c r="G16" s="56">
        <f t="shared" si="3"/>
        <v>21300</v>
      </c>
      <c r="H16" s="43">
        <f t="shared" si="1"/>
        <v>8</v>
      </c>
      <c r="I16" s="44"/>
      <c r="J16" s="45">
        <v>8</v>
      </c>
      <c r="K16" s="99">
        <v>717</v>
      </c>
      <c r="L16" s="4">
        <f t="shared" si="2"/>
        <v>21510</v>
      </c>
    </row>
    <row r="17" spans="1:12" ht="25.5" x14ac:dyDescent="0.15">
      <c r="A17" s="51">
        <v>16</v>
      </c>
      <c r="B17" s="52">
        <v>5209990054</v>
      </c>
      <c r="C17" s="53" t="s">
        <v>202</v>
      </c>
      <c r="D17" s="54" t="s">
        <v>109</v>
      </c>
      <c r="E17" s="51">
        <v>20</v>
      </c>
      <c r="F17" s="55">
        <v>800</v>
      </c>
      <c r="G17" s="56">
        <f t="shared" si="3"/>
        <v>16000</v>
      </c>
      <c r="H17" s="43">
        <f t="shared" si="1"/>
        <v>9</v>
      </c>
      <c r="I17" s="44"/>
      <c r="J17" s="45">
        <v>9</v>
      </c>
      <c r="K17" s="99">
        <v>809</v>
      </c>
      <c r="L17" s="4">
        <f t="shared" si="2"/>
        <v>16180</v>
      </c>
    </row>
    <row r="18" spans="1:12" ht="25.5" x14ac:dyDescent="0.15">
      <c r="A18" s="51">
        <v>17</v>
      </c>
      <c r="B18" s="52">
        <v>5209990055</v>
      </c>
      <c r="C18" s="53" t="s">
        <v>203</v>
      </c>
      <c r="D18" s="54" t="s">
        <v>109</v>
      </c>
      <c r="E18" s="51">
        <v>30</v>
      </c>
      <c r="F18" s="55">
        <v>550</v>
      </c>
      <c r="G18" s="56">
        <f t="shared" ref="G18:G25" si="4">F18*E18</f>
        <v>16500</v>
      </c>
      <c r="H18" s="43">
        <f t="shared" si="1"/>
        <v>5</v>
      </c>
      <c r="I18" s="44"/>
      <c r="J18" s="45">
        <v>5</v>
      </c>
      <c r="K18" s="99">
        <v>555</v>
      </c>
      <c r="L18" s="4">
        <f t="shared" si="2"/>
        <v>16650</v>
      </c>
    </row>
    <row r="19" spans="1:12" ht="25.5" x14ac:dyDescent="0.15">
      <c r="A19" s="51">
        <v>18</v>
      </c>
      <c r="B19" s="52">
        <v>5209990056</v>
      </c>
      <c r="C19" s="53" t="s">
        <v>204</v>
      </c>
      <c r="D19" s="54" t="s">
        <v>109</v>
      </c>
      <c r="E19" s="51">
        <v>20</v>
      </c>
      <c r="F19" s="55">
        <v>660</v>
      </c>
      <c r="G19" s="56">
        <f t="shared" si="4"/>
        <v>13200</v>
      </c>
      <c r="H19" s="43">
        <f t="shared" si="1"/>
        <v>6</v>
      </c>
      <c r="I19" s="44"/>
      <c r="J19" s="45">
        <v>6</v>
      </c>
      <c r="K19" s="99">
        <v>663</v>
      </c>
      <c r="L19" s="4">
        <f t="shared" si="2"/>
        <v>13260</v>
      </c>
    </row>
    <row r="20" spans="1:12" ht="25.5" x14ac:dyDescent="0.15">
      <c r="A20" s="51">
        <v>19</v>
      </c>
      <c r="B20" s="52">
        <v>5209990057</v>
      </c>
      <c r="C20" s="53" t="s">
        <v>205</v>
      </c>
      <c r="D20" s="54" t="s">
        <v>109</v>
      </c>
      <c r="E20" s="51">
        <v>30</v>
      </c>
      <c r="F20" s="55">
        <v>470</v>
      </c>
      <c r="G20" s="56">
        <f t="shared" si="4"/>
        <v>14100</v>
      </c>
      <c r="H20" s="43">
        <f t="shared" si="1"/>
        <v>6</v>
      </c>
      <c r="I20" s="44"/>
      <c r="J20" s="45">
        <v>6</v>
      </c>
      <c r="K20" s="99">
        <v>475</v>
      </c>
      <c r="L20" s="4">
        <f t="shared" si="2"/>
        <v>14250</v>
      </c>
    </row>
    <row r="21" spans="1:12" ht="38.25" x14ac:dyDescent="0.15">
      <c r="A21" s="51">
        <v>20</v>
      </c>
      <c r="B21" s="52">
        <v>5209990118</v>
      </c>
      <c r="C21" s="53" t="s">
        <v>206</v>
      </c>
      <c r="D21" s="54" t="s">
        <v>109</v>
      </c>
      <c r="E21" s="51">
        <v>20</v>
      </c>
      <c r="F21" s="55">
        <v>500</v>
      </c>
      <c r="G21" s="56">
        <f t="shared" si="4"/>
        <v>10000</v>
      </c>
      <c r="H21" s="43">
        <f t="shared" si="1"/>
        <v>3.5</v>
      </c>
      <c r="I21" s="44"/>
      <c r="J21" s="45">
        <v>3.5</v>
      </c>
      <c r="K21" s="99">
        <v>503</v>
      </c>
      <c r="L21" s="4">
        <f t="shared" si="2"/>
        <v>10060</v>
      </c>
    </row>
    <row r="22" spans="1:12" ht="25.5" x14ac:dyDescent="0.15">
      <c r="A22" s="51">
        <v>21</v>
      </c>
      <c r="B22" s="52">
        <v>5209990119</v>
      </c>
      <c r="C22" s="53" t="s">
        <v>207</v>
      </c>
      <c r="D22" s="54" t="s">
        <v>109</v>
      </c>
      <c r="E22" s="51">
        <v>20</v>
      </c>
      <c r="F22" s="55">
        <v>500</v>
      </c>
      <c r="G22" s="56">
        <f t="shared" si="4"/>
        <v>10000</v>
      </c>
      <c r="H22" s="43">
        <f t="shared" si="1"/>
        <v>3.5</v>
      </c>
      <c r="I22" s="44"/>
      <c r="J22" s="45">
        <v>3.5</v>
      </c>
      <c r="K22" s="99">
        <v>503</v>
      </c>
      <c r="L22" s="4">
        <f t="shared" si="2"/>
        <v>10060</v>
      </c>
    </row>
    <row r="23" spans="1:12" ht="38.25" x14ac:dyDescent="0.15">
      <c r="A23" s="51">
        <v>22</v>
      </c>
      <c r="B23" s="52">
        <v>5209990120</v>
      </c>
      <c r="C23" s="53" t="s">
        <v>208</v>
      </c>
      <c r="D23" s="54" t="s">
        <v>109</v>
      </c>
      <c r="E23" s="51">
        <v>20</v>
      </c>
      <c r="F23" s="55">
        <v>500</v>
      </c>
      <c r="G23" s="56">
        <f t="shared" si="4"/>
        <v>10000</v>
      </c>
      <c r="H23" s="43">
        <f t="shared" si="1"/>
        <v>3.5</v>
      </c>
      <c r="I23" s="44"/>
      <c r="J23" s="45">
        <v>3.5</v>
      </c>
      <c r="K23" s="99">
        <v>503</v>
      </c>
      <c r="L23" s="4">
        <f t="shared" si="2"/>
        <v>10060</v>
      </c>
    </row>
    <row r="24" spans="1:12" ht="25.5" x14ac:dyDescent="0.15">
      <c r="A24" s="51">
        <v>23</v>
      </c>
      <c r="B24" s="52">
        <v>5209990121</v>
      </c>
      <c r="C24" s="53" t="s">
        <v>209</v>
      </c>
      <c r="D24" s="54" t="s">
        <v>109</v>
      </c>
      <c r="E24" s="51">
        <v>5</v>
      </c>
      <c r="F24" s="55">
        <v>500</v>
      </c>
      <c r="G24" s="56">
        <f t="shared" si="4"/>
        <v>2500</v>
      </c>
      <c r="H24" s="43">
        <f t="shared" si="1"/>
        <v>3.5</v>
      </c>
      <c r="I24" s="44"/>
      <c r="J24" s="45">
        <v>3.5</v>
      </c>
      <c r="K24" s="99">
        <v>503</v>
      </c>
      <c r="L24" s="4">
        <f t="shared" si="2"/>
        <v>2515</v>
      </c>
    </row>
    <row r="25" spans="1:12" ht="51" x14ac:dyDescent="0.15">
      <c r="A25" s="51">
        <v>24</v>
      </c>
      <c r="B25" s="52">
        <v>5209990122</v>
      </c>
      <c r="C25" s="53" t="s">
        <v>210</v>
      </c>
      <c r="D25" s="54" t="s">
        <v>109</v>
      </c>
      <c r="E25" s="51">
        <v>20</v>
      </c>
      <c r="F25" s="55">
        <v>500</v>
      </c>
      <c r="G25" s="56">
        <f t="shared" si="4"/>
        <v>10000</v>
      </c>
      <c r="H25" s="43">
        <f t="shared" si="1"/>
        <v>3.5</v>
      </c>
      <c r="I25" s="44"/>
      <c r="J25" s="45">
        <v>3.5</v>
      </c>
      <c r="K25" s="99">
        <v>503</v>
      </c>
      <c r="L25" s="4">
        <f t="shared" si="2"/>
        <v>10060</v>
      </c>
    </row>
    <row r="26" spans="1:12" ht="12.75" x14ac:dyDescent="0.15">
      <c r="A26" s="51">
        <v>25</v>
      </c>
      <c r="B26" s="337" t="s">
        <v>7</v>
      </c>
      <c r="C26" s="337"/>
      <c r="D26" s="337"/>
      <c r="E26" s="337"/>
      <c r="F26" s="337"/>
      <c r="G26" s="57">
        <f>SUM(G2:G25)</f>
        <v>454180</v>
      </c>
      <c r="H26" s="46"/>
      <c r="I26" s="46"/>
      <c r="J26" s="47"/>
      <c r="L26" s="4">
        <f>SUM(L2:L25)</f>
        <v>457860</v>
      </c>
    </row>
    <row r="27" spans="1:12" ht="12.75" x14ac:dyDescent="0.15">
      <c r="A27" s="51">
        <v>26</v>
      </c>
      <c r="B27" s="337" t="s">
        <v>51</v>
      </c>
      <c r="C27" s="337"/>
      <c r="D27" s="337"/>
      <c r="E27" s="337"/>
      <c r="F27" s="337"/>
      <c r="G27" s="57">
        <f>G26*18%</f>
        <v>81752.399999999994</v>
      </c>
    </row>
    <row r="28" spans="1:12" ht="12.75" x14ac:dyDescent="0.15">
      <c r="A28" s="51">
        <v>27</v>
      </c>
      <c r="B28" s="337" t="s">
        <v>8</v>
      </c>
      <c r="C28" s="337"/>
      <c r="D28" s="337"/>
      <c r="E28" s="337"/>
      <c r="F28" s="337"/>
      <c r="G28" s="57">
        <f>G27+G26</f>
        <v>535932.4</v>
      </c>
    </row>
    <row r="29" spans="1:12" ht="12.75" x14ac:dyDescent="0.15">
      <c r="A29" s="338"/>
      <c r="B29" s="339"/>
      <c r="C29" s="339"/>
      <c r="D29" s="339"/>
      <c r="E29" s="339"/>
      <c r="F29" s="339"/>
      <c r="G29" s="340"/>
    </row>
    <row r="30" spans="1:12" ht="140.25" x14ac:dyDescent="0.15">
      <c r="A30" s="58" t="s">
        <v>9</v>
      </c>
      <c r="B30" s="335" t="s">
        <v>108</v>
      </c>
      <c r="C30" s="335"/>
      <c r="D30" s="335"/>
      <c r="E30" s="335"/>
      <c r="F30" s="335"/>
      <c r="G30" s="336"/>
    </row>
    <row r="31" spans="1:12" ht="12.75" x14ac:dyDescent="0.2">
      <c r="A31" s="59"/>
      <c r="B31" s="59"/>
      <c r="C31" s="59"/>
      <c r="D31" s="59"/>
      <c r="E31" s="59"/>
      <c r="F31" s="59"/>
      <c r="G31" s="59"/>
    </row>
    <row r="32" spans="1:12" ht="12.75" x14ac:dyDescent="0.2">
      <c r="A32" s="59"/>
      <c r="B32" s="59"/>
      <c r="C32" s="59"/>
      <c r="D32" s="59"/>
      <c r="E32" s="59"/>
      <c r="F32" s="59"/>
      <c r="G32" s="59"/>
    </row>
    <row r="33" spans="1:11" ht="12.75" x14ac:dyDescent="0.2">
      <c r="A33" s="59"/>
      <c r="B33" s="59"/>
      <c r="C33" s="59"/>
      <c r="D33" s="59"/>
      <c r="E33" s="59"/>
      <c r="F33" s="59"/>
      <c r="G33" s="59"/>
    </row>
    <row r="34" spans="1:11" ht="12.75" x14ac:dyDescent="0.2">
      <c r="A34" s="59"/>
      <c r="B34" s="59"/>
      <c r="C34" s="59"/>
      <c r="D34" s="59"/>
      <c r="E34" s="59"/>
      <c r="F34" s="59"/>
      <c r="G34" s="59"/>
    </row>
    <row r="35" spans="1:11" ht="12.75" x14ac:dyDescent="0.2">
      <c r="A35" s="59"/>
      <c r="B35" s="59"/>
      <c r="C35" s="59"/>
      <c r="D35" s="59"/>
      <c r="E35" s="59"/>
      <c r="F35" s="59"/>
      <c r="G35" s="59"/>
    </row>
    <row r="36" spans="1:11" ht="12.75" x14ac:dyDescent="0.2">
      <c r="A36" s="59"/>
      <c r="B36" s="59"/>
      <c r="C36" s="59"/>
      <c r="D36" s="59"/>
      <c r="E36" s="59"/>
      <c r="F36" s="59"/>
      <c r="G36" s="59"/>
    </row>
    <row r="37" spans="1:11" s="1" customFormat="1" ht="12.75" x14ac:dyDescent="0.2">
      <c r="A37" s="59"/>
      <c r="B37" s="59"/>
      <c r="C37" s="59"/>
      <c r="D37" s="59"/>
      <c r="E37" s="59"/>
      <c r="F37" s="59"/>
      <c r="G37" s="59"/>
      <c r="I37" s="12"/>
      <c r="K37" s="99"/>
    </row>
  </sheetData>
  <mergeCells count="5">
    <mergeCell ref="B26:F26"/>
    <mergeCell ref="B27:F27"/>
    <mergeCell ref="B28:F28"/>
    <mergeCell ref="A29:G29"/>
    <mergeCell ref="B30:G30"/>
  </mergeCells>
  <printOptions horizontalCentered="1"/>
  <pageMargins left="0.25" right="0.25" top="0.5" bottom="0.5" header="0.3" footer="0.05"/>
  <pageSetup orientation="landscape" horizontalDpi="4294967292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26"/>
  <sheetViews>
    <sheetView view="pageBreakPreview" topLeftCell="A2" zoomScaleSheetLayoutView="100" workbookViewId="0">
      <selection activeCell="C5" sqref="C5"/>
    </sheetView>
  </sheetViews>
  <sheetFormatPr defaultColWidth="9.140625" defaultRowHeight="11.25" x14ac:dyDescent="0.15"/>
  <cols>
    <col min="1" max="1" width="5.85546875" style="4" bestFit="1" customWidth="1"/>
    <col min="2" max="2" width="12.5703125" style="4" customWidth="1"/>
    <col min="3" max="3" width="50.42578125" style="4" customWidth="1"/>
    <col min="4" max="4" width="5" style="4" bestFit="1" customWidth="1"/>
    <col min="5" max="5" width="6.28515625" style="4" bestFit="1" customWidth="1"/>
    <col min="6" max="6" width="11.5703125" style="4" bestFit="1" customWidth="1"/>
    <col min="7" max="7" width="16.5703125" style="4" bestFit="1" customWidth="1"/>
    <col min="8" max="8" width="16.5703125" style="93" customWidth="1"/>
    <col min="9" max="9" width="13.7109375" style="1" bestFit="1" customWidth="1"/>
    <col min="10" max="10" width="6" style="12" bestFit="1" customWidth="1"/>
    <col min="11" max="11" width="11.7109375" style="4" customWidth="1"/>
    <col min="12" max="12" width="9.140625" style="100"/>
    <col min="13" max="13" width="9.140625" style="1"/>
    <col min="14" max="14" width="10.5703125" style="1" bestFit="1" customWidth="1"/>
    <col min="15" max="15" width="9.140625" style="1"/>
    <col min="16" max="16384" width="9.140625" style="4"/>
  </cols>
  <sheetData>
    <row r="1" spans="1:15" ht="25.5" x14ac:dyDescent="0.15">
      <c r="A1" s="48" t="s">
        <v>0</v>
      </c>
      <c r="B1" s="49" t="s">
        <v>5</v>
      </c>
      <c r="C1" s="49" t="s">
        <v>2</v>
      </c>
      <c r="D1" s="49" t="s">
        <v>3</v>
      </c>
      <c r="E1" s="49" t="s">
        <v>13</v>
      </c>
      <c r="F1" s="50" t="s">
        <v>11</v>
      </c>
      <c r="G1" s="50" t="s">
        <v>12</v>
      </c>
      <c r="H1" s="50" t="s">
        <v>120</v>
      </c>
      <c r="I1" s="40" t="s">
        <v>17</v>
      </c>
      <c r="J1" s="41" t="s">
        <v>222</v>
      </c>
      <c r="K1" s="42" t="s">
        <v>284</v>
      </c>
      <c r="L1" s="100" t="s">
        <v>273</v>
      </c>
      <c r="M1" s="1" t="s">
        <v>274</v>
      </c>
    </row>
    <row r="2" spans="1:15" ht="51" x14ac:dyDescent="0.15">
      <c r="A2" s="51">
        <v>1</v>
      </c>
      <c r="B2" s="52">
        <v>5301000005</v>
      </c>
      <c r="C2" s="53" t="s">
        <v>211</v>
      </c>
      <c r="D2" s="54" t="s">
        <v>109</v>
      </c>
      <c r="E2" s="51">
        <v>1</v>
      </c>
      <c r="F2" s="102">
        <f>387850+50000</f>
        <v>437850</v>
      </c>
      <c r="G2" s="56">
        <f t="shared" ref="G2:G14" si="0">F2*E2</f>
        <v>437850</v>
      </c>
      <c r="H2" s="89" t="s">
        <v>223</v>
      </c>
      <c r="I2" s="43">
        <v>4850</v>
      </c>
      <c r="J2" s="44">
        <v>3400</v>
      </c>
      <c r="K2" s="45">
        <v>3400</v>
      </c>
      <c r="N2" s="1">
        <f>523800-367096</f>
        <v>156704</v>
      </c>
      <c r="O2" s="101">
        <f>N2/F2</f>
        <v>0.35789425602375241</v>
      </c>
    </row>
    <row r="3" spans="1:15" ht="63.75" x14ac:dyDescent="0.15">
      <c r="A3" s="51">
        <v>2</v>
      </c>
      <c r="B3" s="52">
        <v>5301000006</v>
      </c>
      <c r="C3" s="53" t="s">
        <v>212</v>
      </c>
      <c r="D3" s="54" t="s">
        <v>109</v>
      </c>
      <c r="E3" s="51">
        <v>1</v>
      </c>
      <c r="F3" s="102">
        <v>325000</v>
      </c>
      <c r="G3" s="56">
        <f t="shared" si="0"/>
        <v>325000</v>
      </c>
      <c r="H3" s="89" t="s">
        <v>223</v>
      </c>
      <c r="I3" s="43">
        <f>J3*1.3</f>
        <v>4420</v>
      </c>
      <c r="J3" s="44">
        <v>3400</v>
      </c>
      <c r="K3" s="45">
        <v>2700</v>
      </c>
      <c r="N3" s="101">
        <f>F3-325000</f>
        <v>0</v>
      </c>
      <c r="O3" s="101">
        <f t="shared" ref="O3:O14" si="1">N3/F3</f>
        <v>0</v>
      </c>
    </row>
    <row r="4" spans="1:15" ht="38.25" x14ac:dyDescent="0.15">
      <c r="A4" s="51">
        <v>3</v>
      </c>
      <c r="B4" s="52">
        <v>5209000242</v>
      </c>
      <c r="C4" s="53" t="s">
        <v>213</v>
      </c>
      <c r="D4" s="54" t="s">
        <v>109</v>
      </c>
      <c r="E4" s="51">
        <v>10</v>
      </c>
      <c r="F4" s="102">
        <f t="shared" ref="F4:F5" si="2">80*1.35*I4</f>
        <v>1296</v>
      </c>
      <c r="G4" s="56">
        <f t="shared" si="0"/>
        <v>12960</v>
      </c>
      <c r="H4" s="89" t="s">
        <v>224</v>
      </c>
      <c r="I4" s="43">
        <v>12</v>
      </c>
      <c r="J4" s="44"/>
      <c r="K4" s="45">
        <v>10</v>
      </c>
      <c r="N4" s="101">
        <f>F4-1350</f>
        <v>-54</v>
      </c>
      <c r="O4" s="101">
        <f t="shared" si="1"/>
        <v>-4.1666666666666664E-2</v>
      </c>
    </row>
    <row r="5" spans="1:15" ht="38.25" x14ac:dyDescent="0.15">
      <c r="A5" s="51">
        <v>4</v>
      </c>
      <c r="B5" s="52">
        <v>5301000001</v>
      </c>
      <c r="C5" s="53" t="s">
        <v>214</v>
      </c>
      <c r="D5" s="54" t="s">
        <v>109</v>
      </c>
      <c r="E5" s="51">
        <v>10</v>
      </c>
      <c r="F5" s="102">
        <f t="shared" si="2"/>
        <v>1296</v>
      </c>
      <c r="G5" s="56">
        <f t="shared" si="0"/>
        <v>12960</v>
      </c>
      <c r="H5" s="89" t="s">
        <v>224</v>
      </c>
      <c r="I5" s="43">
        <v>12</v>
      </c>
      <c r="J5" s="44"/>
      <c r="K5" s="45">
        <v>10</v>
      </c>
      <c r="N5" s="101">
        <f t="shared" ref="N5:N14" si="3">F5-325000</f>
        <v>-323704</v>
      </c>
      <c r="O5" s="101">
        <f t="shared" si="1"/>
        <v>-249.77160493827159</v>
      </c>
    </row>
    <row r="6" spans="1:15" ht="38.25" x14ac:dyDescent="0.15">
      <c r="A6" s="51">
        <v>5</v>
      </c>
      <c r="B6" s="52">
        <v>5301000020</v>
      </c>
      <c r="C6" s="53" t="s">
        <v>140</v>
      </c>
      <c r="D6" s="54" t="s">
        <v>109</v>
      </c>
      <c r="E6" s="51">
        <v>5</v>
      </c>
      <c r="F6" s="102">
        <v>900</v>
      </c>
      <c r="G6" s="56">
        <f t="shared" si="0"/>
        <v>4500</v>
      </c>
      <c r="H6" s="89" t="s">
        <v>225</v>
      </c>
      <c r="I6" s="43">
        <v>9</v>
      </c>
      <c r="J6" s="44"/>
      <c r="K6" s="45">
        <v>5</v>
      </c>
      <c r="N6" s="101">
        <f t="shared" si="3"/>
        <v>-324100</v>
      </c>
      <c r="O6" s="101">
        <f t="shared" si="1"/>
        <v>-360.11111111111109</v>
      </c>
    </row>
    <row r="7" spans="1:15" ht="38.25" x14ac:dyDescent="0.15">
      <c r="A7" s="51">
        <v>6</v>
      </c>
      <c r="B7" s="52">
        <v>5301000021</v>
      </c>
      <c r="C7" s="53" t="s">
        <v>142</v>
      </c>
      <c r="D7" s="54" t="s">
        <v>109</v>
      </c>
      <c r="E7" s="51">
        <v>5</v>
      </c>
      <c r="F7" s="102">
        <v>800</v>
      </c>
      <c r="G7" s="56">
        <f t="shared" si="0"/>
        <v>4000</v>
      </c>
      <c r="H7" s="89" t="s">
        <v>225</v>
      </c>
      <c r="I7" s="43">
        <v>8</v>
      </c>
      <c r="J7" s="44"/>
      <c r="K7" s="45">
        <v>5</v>
      </c>
      <c r="N7" s="101">
        <f t="shared" si="3"/>
        <v>-324200</v>
      </c>
      <c r="O7" s="101">
        <f t="shared" si="1"/>
        <v>-405.25</v>
      </c>
    </row>
    <row r="8" spans="1:15" ht="51" x14ac:dyDescent="0.15">
      <c r="A8" s="51">
        <v>7</v>
      </c>
      <c r="B8" s="52">
        <v>5301000022</v>
      </c>
      <c r="C8" s="53" t="s">
        <v>215</v>
      </c>
      <c r="D8" s="54" t="s">
        <v>109</v>
      </c>
      <c r="E8" s="51">
        <v>2</v>
      </c>
      <c r="F8" s="102">
        <v>8000</v>
      </c>
      <c r="G8" s="56">
        <f t="shared" si="0"/>
        <v>16000</v>
      </c>
      <c r="H8" s="89" t="s">
        <v>226</v>
      </c>
      <c r="I8" s="43">
        <v>100</v>
      </c>
      <c r="J8" s="44"/>
      <c r="K8" s="45">
        <v>70</v>
      </c>
      <c r="N8" s="101">
        <f t="shared" si="3"/>
        <v>-317000</v>
      </c>
      <c r="O8" s="101">
        <f t="shared" si="1"/>
        <v>-39.625</v>
      </c>
    </row>
    <row r="9" spans="1:15" ht="51" x14ac:dyDescent="0.15">
      <c r="A9" s="51">
        <v>8</v>
      </c>
      <c r="B9" s="52">
        <v>5301000023</v>
      </c>
      <c r="C9" s="53" t="s">
        <v>216</v>
      </c>
      <c r="D9" s="54" t="s">
        <v>109</v>
      </c>
      <c r="E9" s="51">
        <v>1</v>
      </c>
      <c r="F9" s="102">
        <v>10000</v>
      </c>
      <c r="G9" s="56">
        <f t="shared" si="0"/>
        <v>10000</v>
      </c>
      <c r="H9" s="89" t="s">
        <v>226</v>
      </c>
      <c r="I9" s="43">
        <v>120</v>
      </c>
      <c r="J9" s="44"/>
      <c r="K9" s="45">
        <v>80</v>
      </c>
      <c r="N9" s="101">
        <f t="shared" si="3"/>
        <v>-315000</v>
      </c>
      <c r="O9" s="101">
        <f t="shared" si="1"/>
        <v>-31.5</v>
      </c>
    </row>
    <row r="10" spans="1:15" ht="51" x14ac:dyDescent="0.15">
      <c r="A10" s="51">
        <v>9</v>
      </c>
      <c r="B10" s="52">
        <v>5301000024</v>
      </c>
      <c r="C10" s="53" t="s">
        <v>217</v>
      </c>
      <c r="D10" s="54" t="s">
        <v>109</v>
      </c>
      <c r="E10" s="51">
        <v>2</v>
      </c>
      <c r="F10" s="102">
        <v>5250</v>
      </c>
      <c r="G10" s="56">
        <f t="shared" si="0"/>
        <v>10500</v>
      </c>
      <c r="H10" s="89"/>
      <c r="I10" s="43">
        <v>100</v>
      </c>
      <c r="J10" s="44"/>
      <c r="K10" s="45">
        <v>38</v>
      </c>
      <c r="N10" s="101">
        <f t="shared" si="3"/>
        <v>-319750</v>
      </c>
      <c r="O10" s="101">
        <f t="shared" si="1"/>
        <v>-60.904761904761905</v>
      </c>
    </row>
    <row r="11" spans="1:15" ht="51" x14ac:dyDescent="0.15">
      <c r="A11" s="51">
        <v>10</v>
      </c>
      <c r="B11" s="52">
        <v>5301000025</v>
      </c>
      <c r="C11" s="53" t="s">
        <v>218</v>
      </c>
      <c r="D11" s="54" t="s">
        <v>109</v>
      </c>
      <c r="E11" s="51">
        <v>3</v>
      </c>
      <c r="F11" s="102">
        <v>5250</v>
      </c>
      <c r="G11" s="56">
        <f t="shared" si="0"/>
        <v>15750</v>
      </c>
      <c r="H11" s="89"/>
      <c r="I11" s="43">
        <v>50</v>
      </c>
      <c r="J11" s="44"/>
      <c r="K11" s="45">
        <v>38</v>
      </c>
      <c r="N11" s="101">
        <f t="shared" si="3"/>
        <v>-319750</v>
      </c>
      <c r="O11" s="101">
        <f t="shared" si="1"/>
        <v>-60.904761904761905</v>
      </c>
    </row>
    <row r="12" spans="1:15" ht="25.5" x14ac:dyDescent="0.15">
      <c r="A12" s="51">
        <v>11</v>
      </c>
      <c r="B12" s="52">
        <v>5301000028</v>
      </c>
      <c r="C12" s="53" t="s">
        <v>219</v>
      </c>
      <c r="D12" s="54" t="s">
        <v>109</v>
      </c>
      <c r="E12" s="51">
        <v>6</v>
      </c>
      <c r="F12" s="102">
        <v>1800</v>
      </c>
      <c r="G12" s="56">
        <f t="shared" si="0"/>
        <v>10800</v>
      </c>
      <c r="H12" s="89" t="s">
        <v>227</v>
      </c>
      <c r="I12" s="43">
        <v>120</v>
      </c>
      <c r="J12" s="44"/>
      <c r="K12" s="45">
        <v>12</v>
      </c>
      <c r="N12" s="101">
        <f t="shared" si="3"/>
        <v>-323200</v>
      </c>
      <c r="O12" s="101">
        <f t="shared" si="1"/>
        <v>-179.55555555555554</v>
      </c>
    </row>
    <row r="13" spans="1:15" ht="38.25" x14ac:dyDescent="0.15">
      <c r="A13" s="51">
        <v>12</v>
      </c>
      <c r="B13" s="52">
        <v>5301000029</v>
      </c>
      <c r="C13" s="53" t="s">
        <v>220</v>
      </c>
      <c r="D13" s="54" t="s">
        <v>109</v>
      </c>
      <c r="E13" s="51">
        <v>10</v>
      </c>
      <c r="F13" s="102">
        <v>2000</v>
      </c>
      <c r="G13" s="56">
        <f t="shared" si="0"/>
        <v>20000</v>
      </c>
      <c r="H13" s="89"/>
      <c r="I13" s="43">
        <v>100</v>
      </c>
      <c r="J13" s="44"/>
      <c r="K13" s="45">
        <v>18</v>
      </c>
      <c r="N13" s="101">
        <f t="shared" si="3"/>
        <v>-323000</v>
      </c>
      <c r="O13" s="101">
        <f t="shared" si="1"/>
        <v>-161.5</v>
      </c>
    </row>
    <row r="14" spans="1:15" ht="38.25" x14ac:dyDescent="0.15">
      <c r="A14" s="51">
        <v>13</v>
      </c>
      <c r="B14" s="52">
        <v>5301000030</v>
      </c>
      <c r="C14" s="53" t="s">
        <v>221</v>
      </c>
      <c r="D14" s="54" t="s">
        <v>109</v>
      </c>
      <c r="E14" s="51">
        <v>5</v>
      </c>
      <c r="F14" s="102">
        <v>1800</v>
      </c>
      <c r="G14" s="56">
        <f t="shared" si="0"/>
        <v>9000</v>
      </c>
      <c r="H14" s="89"/>
      <c r="I14" s="43">
        <v>100</v>
      </c>
      <c r="J14" s="44"/>
      <c r="K14" s="45">
        <v>18</v>
      </c>
      <c r="N14" s="101">
        <f t="shared" si="3"/>
        <v>-323200</v>
      </c>
      <c r="O14" s="101">
        <f t="shared" si="1"/>
        <v>-179.55555555555554</v>
      </c>
    </row>
    <row r="15" spans="1:15" ht="12.75" x14ac:dyDescent="0.15">
      <c r="A15" s="51">
        <v>15</v>
      </c>
      <c r="B15" s="337" t="s">
        <v>7</v>
      </c>
      <c r="C15" s="337"/>
      <c r="D15" s="337"/>
      <c r="E15" s="337"/>
      <c r="F15" s="337"/>
      <c r="G15" s="57">
        <f>SUM(G2:G14)</f>
        <v>889320</v>
      </c>
      <c r="H15" s="90"/>
      <c r="I15" s="46">
        <f>G15*3%+50000</f>
        <v>76679.600000000006</v>
      </c>
      <c r="J15" s="46"/>
      <c r="K15" s="47"/>
    </row>
    <row r="16" spans="1:15" ht="12.75" x14ac:dyDescent="0.15">
      <c r="A16" s="51">
        <v>16</v>
      </c>
      <c r="B16" s="337" t="s">
        <v>51</v>
      </c>
      <c r="C16" s="337"/>
      <c r="D16" s="337"/>
      <c r="E16" s="337"/>
      <c r="F16" s="337"/>
      <c r="G16" s="57">
        <f>G15*18%</f>
        <v>160077.6</v>
      </c>
      <c r="H16" s="90"/>
    </row>
    <row r="17" spans="1:12" ht="12.75" x14ac:dyDescent="0.15">
      <c r="A17" s="51">
        <v>17</v>
      </c>
      <c r="B17" s="337" t="s">
        <v>8</v>
      </c>
      <c r="C17" s="337"/>
      <c r="D17" s="337"/>
      <c r="E17" s="337"/>
      <c r="F17" s="337"/>
      <c r="G17" s="57">
        <f>G16+G15</f>
        <v>1049397.6000000001</v>
      </c>
      <c r="H17" s="90"/>
    </row>
    <row r="18" spans="1:12" ht="12.75" x14ac:dyDescent="0.15">
      <c r="A18" s="344"/>
      <c r="B18" s="345"/>
      <c r="C18" s="345"/>
      <c r="D18" s="345"/>
      <c r="E18" s="345"/>
      <c r="F18" s="345"/>
      <c r="G18" s="346"/>
      <c r="H18" s="91"/>
    </row>
    <row r="19" spans="1:12" ht="140.25" x14ac:dyDescent="0.15">
      <c r="A19" s="58" t="s">
        <v>9</v>
      </c>
      <c r="B19" s="335" t="s">
        <v>108</v>
      </c>
      <c r="C19" s="335"/>
      <c r="D19" s="335"/>
      <c r="E19" s="335"/>
      <c r="F19" s="335"/>
      <c r="G19" s="336"/>
      <c r="H19" s="88"/>
    </row>
    <row r="20" spans="1:12" ht="12.75" x14ac:dyDescent="0.2">
      <c r="A20" s="59"/>
      <c r="B20" s="59"/>
      <c r="C20" s="59"/>
      <c r="D20" s="59"/>
      <c r="E20" s="59"/>
      <c r="F20" s="59"/>
      <c r="G20" s="59"/>
      <c r="H20" s="92"/>
    </row>
    <row r="21" spans="1:12" ht="12.75" x14ac:dyDescent="0.2">
      <c r="A21" s="59"/>
      <c r="B21" s="59"/>
      <c r="C21" s="59"/>
      <c r="D21" s="59"/>
      <c r="E21" s="59"/>
      <c r="F21" s="59"/>
      <c r="G21" s="59"/>
      <c r="H21" s="92"/>
    </row>
    <row r="22" spans="1:12" ht="12.75" x14ac:dyDescent="0.2">
      <c r="A22" s="59"/>
      <c r="B22" s="59"/>
      <c r="C22" s="59"/>
      <c r="D22" s="59"/>
      <c r="E22" s="59"/>
      <c r="F22" s="59"/>
      <c r="G22" s="59"/>
      <c r="H22" s="92"/>
    </row>
    <row r="23" spans="1:12" ht="12.75" x14ac:dyDescent="0.2">
      <c r="A23" s="59"/>
      <c r="B23" s="59"/>
      <c r="C23" s="59"/>
      <c r="D23" s="59"/>
      <c r="E23" s="59"/>
      <c r="F23" s="59"/>
      <c r="G23" s="59"/>
      <c r="H23" s="92"/>
    </row>
    <row r="24" spans="1:12" ht="12.75" x14ac:dyDescent="0.2">
      <c r="A24" s="59"/>
      <c r="B24" s="59"/>
      <c r="C24" s="59"/>
      <c r="D24" s="59"/>
      <c r="E24" s="59"/>
      <c r="F24" s="59"/>
      <c r="G24" s="59"/>
      <c r="H24" s="92"/>
    </row>
    <row r="25" spans="1:12" ht="12.75" x14ac:dyDescent="0.2">
      <c r="A25" s="59"/>
      <c r="B25" s="59"/>
      <c r="C25" s="59"/>
      <c r="D25" s="59"/>
      <c r="E25" s="59"/>
      <c r="F25" s="59"/>
      <c r="G25" s="59"/>
      <c r="H25" s="92"/>
    </row>
    <row r="26" spans="1:12" s="1" customFormat="1" ht="12.75" x14ac:dyDescent="0.2">
      <c r="A26" s="59"/>
      <c r="B26" s="59"/>
      <c r="C26" s="59"/>
      <c r="D26" s="59"/>
      <c r="E26" s="59"/>
      <c r="F26" s="59"/>
      <c r="G26" s="59"/>
      <c r="H26" s="92"/>
      <c r="J26" s="12"/>
      <c r="K26" s="4"/>
      <c r="L26" s="100"/>
    </row>
  </sheetData>
  <mergeCells count="5">
    <mergeCell ref="B15:F15"/>
    <mergeCell ref="B16:F16"/>
    <mergeCell ref="B17:F17"/>
    <mergeCell ref="A18:G18"/>
    <mergeCell ref="B19:G19"/>
  </mergeCells>
  <printOptions horizontalCentered="1"/>
  <pageMargins left="0.25" right="0.25" top="0.5" bottom="0.5" header="0.3" footer="0.05"/>
  <pageSetup orientation="landscape" horizontalDpi="4294967292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15"/>
  <sheetViews>
    <sheetView view="pageBreakPreview" zoomScaleSheetLayoutView="100" workbookViewId="0">
      <selection activeCell="C3" sqref="C3"/>
    </sheetView>
  </sheetViews>
  <sheetFormatPr defaultColWidth="9.140625" defaultRowHeight="11.25" x14ac:dyDescent="0.15"/>
  <cols>
    <col min="1" max="1" width="5.85546875" style="4" bestFit="1" customWidth="1"/>
    <col min="2" max="2" width="12.5703125" style="4" customWidth="1"/>
    <col min="3" max="3" width="50.42578125" style="4" customWidth="1"/>
    <col min="4" max="4" width="5" style="4" bestFit="1" customWidth="1"/>
    <col min="5" max="5" width="6.28515625" style="4" bestFit="1" customWidth="1"/>
    <col min="6" max="6" width="11.5703125" style="4" bestFit="1" customWidth="1"/>
    <col min="7" max="7" width="16.5703125" style="4" bestFit="1" customWidth="1"/>
    <col min="8" max="8" width="9.140625" style="1"/>
    <col min="9" max="9" width="10.5703125" style="12" bestFit="1" customWidth="1"/>
    <col min="10" max="10" width="13.28515625" style="4" bestFit="1" customWidth="1"/>
    <col min="11" max="16384" width="9.140625" style="4"/>
  </cols>
  <sheetData>
    <row r="1" spans="1:11" ht="25.5" x14ac:dyDescent="0.15">
      <c r="A1" s="48" t="s">
        <v>0</v>
      </c>
      <c r="B1" s="49" t="s">
        <v>5</v>
      </c>
      <c r="C1" s="49" t="s">
        <v>2</v>
      </c>
      <c r="D1" s="49" t="s">
        <v>3</v>
      </c>
      <c r="E1" s="49" t="s">
        <v>13</v>
      </c>
      <c r="F1" s="50" t="s">
        <v>11</v>
      </c>
      <c r="G1" s="50" t="s">
        <v>12</v>
      </c>
      <c r="H1" s="40" t="s">
        <v>17</v>
      </c>
      <c r="I1" s="41" t="s">
        <v>14</v>
      </c>
      <c r="J1" s="42" t="s">
        <v>10</v>
      </c>
      <c r="K1" s="4" t="s">
        <v>107</v>
      </c>
    </row>
    <row r="2" spans="1:11" ht="12.75" x14ac:dyDescent="0.15">
      <c r="A2" s="51">
        <v>1</v>
      </c>
      <c r="B2" s="51">
        <v>604000101</v>
      </c>
      <c r="C2" s="53" t="s">
        <v>228</v>
      </c>
      <c r="D2" s="54" t="s">
        <v>109</v>
      </c>
      <c r="E2" s="51">
        <v>24</v>
      </c>
      <c r="F2" s="55">
        <f>80*1.33*H2</f>
        <v>9044</v>
      </c>
      <c r="G2" s="56">
        <f t="shared" ref="G2:G3" si="0">F2*E2</f>
        <v>217056</v>
      </c>
      <c r="H2" s="43">
        <v>85</v>
      </c>
      <c r="I2" s="44">
        <f>480/6</f>
        <v>80</v>
      </c>
      <c r="J2" s="45"/>
    </row>
    <row r="3" spans="1:11" ht="25.5" x14ac:dyDescent="0.15">
      <c r="A3" s="51">
        <v>2</v>
      </c>
      <c r="B3" s="51">
        <v>3003000093</v>
      </c>
      <c r="C3" s="53" t="s">
        <v>229</v>
      </c>
      <c r="D3" s="54" t="s">
        <v>109</v>
      </c>
      <c r="E3" s="51">
        <v>18</v>
      </c>
      <c r="F3" s="55">
        <f>80*1.33*H3</f>
        <v>10640</v>
      </c>
      <c r="G3" s="56">
        <f t="shared" si="0"/>
        <v>191520</v>
      </c>
      <c r="H3" s="43">
        <v>100</v>
      </c>
      <c r="I3" s="44">
        <f>580/6</f>
        <v>96.666666666666671</v>
      </c>
      <c r="J3" s="45"/>
    </row>
    <row r="4" spans="1:11" ht="12.75" x14ac:dyDescent="0.15">
      <c r="A4" s="51">
        <v>3</v>
      </c>
      <c r="B4" s="337" t="s">
        <v>7</v>
      </c>
      <c r="C4" s="337"/>
      <c r="D4" s="337"/>
      <c r="E4" s="337"/>
      <c r="F4" s="337"/>
      <c r="G4" s="57">
        <f>SUM(G2:G3)</f>
        <v>408576</v>
      </c>
      <c r="H4" s="46"/>
      <c r="I4" s="46"/>
      <c r="J4" s="47"/>
    </row>
    <row r="5" spans="1:11" ht="12.75" x14ac:dyDescent="0.15">
      <c r="A5" s="51">
        <v>4</v>
      </c>
      <c r="B5" s="337" t="s">
        <v>51</v>
      </c>
      <c r="C5" s="337"/>
      <c r="D5" s="337"/>
      <c r="E5" s="337"/>
      <c r="F5" s="337"/>
      <c r="G5" s="57">
        <f>G4*18%</f>
        <v>73543.679999999993</v>
      </c>
    </row>
    <row r="6" spans="1:11" ht="12.75" x14ac:dyDescent="0.15">
      <c r="A6" s="51">
        <v>5</v>
      </c>
      <c r="B6" s="337" t="s">
        <v>8</v>
      </c>
      <c r="C6" s="337"/>
      <c r="D6" s="337"/>
      <c r="E6" s="337"/>
      <c r="F6" s="337"/>
      <c r="G6" s="57">
        <f>G5+G4</f>
        <v>482119.67999999999</v>
      </c>
    </row>
    <row r="7" spans="1:11" ht="12.75" x14ac:dyDescent="0.15">
      <c r="A7" s="344"/>
      <c r="B7" s="345"/>
      <c r="C7" s="345"/>
      <c r="D7" s="345"/>
      <c r="E7" s="345"/>
      <c r="F7" s="345"/>
      <c r="G7" s="346"/>
    </row>
    <row r="8" spans="1:11" ht="140.25" x14ac:dyDescent="0.15">
      <c r="A8" s="58" t="s">
        <v>9</v>
      </c>
      <c r="B8" s="335" t="s">
        <v>108</v>
      </c>
      <c r="C8" s="335"/>
      <c r="D8" s="335"/>
      <c r="E8" s="335"/>
      <c r="F8" s="335"/>
      <c r="G8" s="336"/>
    </row>
    <row r="9" spans="1:11" ht="12.75" x14ac:dyDescent="0.2">
      <c r="A9" s="59"/>
      <c r="B9" s="59"/>
      <c r="C9" s="59"/>
      <c r="D9" s="59"/>
      <c r="E9" s="59"/>
      <c r="F9" s="59"/>
      <c r="G9" s="59"/>
    </row>
    <row r="10" spans="1:11" ht="12.75" x14ac:dyDescent="0.2">
      <c r="A10" s="59"/>
      <c r="B10" s="59"/>
      <c r="C10" s="59"/>
      <c r="D10" s="59"/>
      <c r="E10" s="59"/>
      <c r="F10" s="59"/>
      <c r="G10" s="59"/>
    </row>
    <row r="11" spans="1:11" ht="12.75" x14ac:dyDescent="0.2">
      <c r="A11" s="59"/>
      <c r="B11" s="59"/>
      <c r="C11" s="59"/>
      <c r="D11" s="59"/>
      <c r="E11" s="59"/>
      <c r="F11" s="59"/>
      <c r="G11" s="59"/>
    </row>
    <row r="12" spans="1:11" ht="12.75" x14ac:dyDescent="0.2">
      <c r="A12" s="59"/>
      <c r="B12" s="59"/>
      <c r="C12" s="59"/>
      <c r="D12" s="59"/>
      <c r="E12" s="59"/>
      <c r="F12" s="59"/>
      <c r="G12" s="59"/>
    </row>
    <row r="13" spans="1:11" ht="12.75" x14ac:dyDescent="0.2">
      <c r="A13" s="59"/>
      <c r="B13" s="59"/>
      <c r="C13" s="59"/>
      <c r="D13" s="59"/>
      <c r="E13" s="59"/>
      <c r="F13" s="59"/>
      <c r="G13" s="59"/>
    </row>
    <row r="14" spans="1:11" ht="12.75" x14ac:dyDescent="0.2">
      <c r="A14" s="59"/>
      <c r="B14" s="59"/>
      <c r="C14" s="59"/>
      <c r="D14" s="59"/>
      <c r="E14" s="59"/>
      <c r="F14" s="59"/>
      <c r="G14" s="59"/>
    </row>
    <row r="15" spans="1:11" s="1" customFormat="1" ht="12.75" x14ac:dyDescent="0.2">
      <c r="A15" s="59"/>
      <c r="B15" s="59"/>
      <c r="C15" s="59"/>
      <c r="D15" s="59"/>
      <c r="E15" s="59"/>
      <c r="F15" s="59"/>
      <c r="G15" s="59"/>
      <c r="I15" s="12"/>
      <c r="J15" s="4"/>
      <c r="K15" s="4"/>
    </row>
  </sheetData>
  <mergeCells count="5">
    <mergeCell ref="B4:F4"/>
    <mergeCell ref="B5:F5"/>
    <mergeCell ref="B6:F6"/>
    <mergeCell ref="A7:G7"/>
    <mergeCell ref="B8:G8"/>
  </mergeCells>
  <printOptions horizontalCentered="1"/>
  <pageMargins left="0.25" right="0.25" top="0.5" bottom="0.5" header="0.3" footer="0.05"/>
  <pageSetup orientation="landscape" horizontalDpi="4294967292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14"/>
  <sheetViews>
    <sheetView view="pageBreakPreview" zoomScaleSheetLayoutView="100" workbookViewId="0">
      <selection activeCell="C2" sqref="C2"/>
    </sheetView>
  </sheetViews>
  <sheetFormatPr defaultColWidth="9.140625" defaultRowHeight="11.25" x14ac:dyDescent="0.15"/>
  <cols>
    <col min="1" max="1" width="5.85546875" style="4" bestFit="1" customWidth="1"/>
    <col min="2" max="2" width="12.5703125" style="4" customWidth="1"/>
    <col min="3" max="3" width="50.42578125" style="4" customWidth="1"/>
    <col min="4" max="4" width="5" style="4" bestFit="1" customWidth="1"/>
    <col min="5" max="5" width="6.28515625" style="4" bestFit="1" customWidth="1"/>
    <col min="6" max="6" width="11.5703125" style="4" bestFit="1" customWidth="1"/>
    <col min="7" max="7" width="16.5703125" style="4" bestFit="1" customWidth="1"/>
    <col min="8" max="8" width="9.140625" style="1"/>
    <col min="9" max="9" width="10.5703125" style="12" bestFit="1" customWidth="1"/>
    <col min="10" max="10" width="13.28515625" style="4" bestFit="1" customWidth="1"/>
    <col min="11" max="16384" width="9.140625" style="4"/>
  </cols>
  <sheetData>
    <row r="1" spans="1:11" ht="25.5" x14ac:dyDescent="0.15">
      <c r="A1" s="48" t="s">
        <v>0</v>
      </c>
      <c r="B1" s="49" t="s">
        <v>5</v>
      </c>
      <c r="C1" s="49" t="s">
        <v>2</v>
      </c>
      <c r="D1" s="49" t="s">
        <v>3</v>
      </c>
      <c r="E1" s="49" t="s">
        <v>13</v>
      </c>
      <c r="F1" s="50" t="s">
        <v>11</v>
      </c>
      <c r="G1" s="50" t="s">
        <v>12</v>
      </c>
      <c r="H1" s="40" t="s">
        <v>17</v>
      </c>
      <c r="I1" s="41" t="s">
        <v>14</v>
      </c>
      <c r="J1" s="42" t="s">
        <v>10</v>
      </c>
      <c r="K1" s="4" t="s">
        <v>107</v>
      </c>
    </row>
    <row r="2" spans="1:11" ht="25.5" x14ac:dyDescent="0.15">
      <c r="A2" s="51">
        <v>1</v>
      </c>
      <c r="B2" s="51">
        <v>3003000015</v>
      </c>
      <c r="C2" s="53" t="s">
        <v>230</v>
      </c>
      <c r="D2" s="54" t="s">
        <v>105</v>
      </c>
      <c r="E2" s="51">
        <v>3</v>
      </c>
      <c r="F2" s="55">
        <f>80*1.33*H2</f>
        <v>3404800</v>
      </c>
      <c r="G2" s="56">
        <f t="shared" ref="G2" si="0">F2*E2</f>
        <v>10214400</v>
      </c>
      <c r="H2" s="43">
        <v>32000</v>
      </c>
      <c r="I2" s="44"/>
      <c r="J2" s="45">
        <v>31400</v>
      </c>
    </row>
    <row r="3" spans="1:11" ht="12.75" x14ac:dyDescent="0.15">
      <c r="A3" s="51">
        <v>3</v>
      </c>
      <c r="B3" s="337" t="s">
        <v>7</v>
      </c>
      <c r="C3" s="337"/>
      <c r="D3" s="337"/>
      <c r="E3" s="337"/>
      <c r="F3" s="337"/>
      <c r="G3" s="57">
        <f>SUM(G2:G2)</f>
        <v>10214400</v>
      </c>
      <c r="H3" s="46"/>
      <c r="I3" s="46"/>
      <c r="J3" s="47"/>
    </row>
    <row r="4" spans="1:11" ht="12.75" x14ac:dyDescent="0.15">
      <c r="A4" s="51">
        <v>4</v>
      </c>
      <c r="B4" s="337" t="s">
        <v>51</v>
      </c>
      <c r="C4" s="337"/>
      <c r="D4" s="337"/>
      <c r="E4" s="337"/>
      <c r="F4" s="337"/>
      <c r="G4" s="57">
        <f>G3*18%</f>
        <v>1838592</v>
      </c>
    </row>
    <row r="5" spans="1:11" ht="12.75" x14ac:dyDescent="0.15">
      <c r="A5" s="51">
        <v>5</v>
      </c>
      <c r="B5" s="337" t="s">
        <v>8</v>
      </c>
      <c r="C5" s="337"/>
      <c r="D5" s="337"/>
      <c r="E5" s="337"/>
      <c r="F5" s="337"/>
      <c r="G5" s="57">
        <f>G4+G3</f>
        <v>12052992</v>
      </c>
    </row>
    <row r="6" spans="1:11" ht="12.75" x14ac:dyDescent="0.15">
      <c r="A6" s="344"/>
      <c r="B6" s="345"/>
      <c r="C6" s="345"/>
      <c r="D6" s="345"/>
      <c r="E6" s="345"/>
      <c r="F6" s="345"/>
      <c r="G6" s="346"/>
    </row>
    <row r="7" spans="1:11" ht="140.25" x14ac:dyDescent="0.15">
      <c r="A7" s="58" t="s">
        <v>9</v>
      </c>
      <c r="B7" s="335" t="s">
        <v>231</v>
      </c>
      <c r="C7" s="335"/>
      <c r="D7" s="335"/>
      <c r="E7" s="335"/>
      <c r="F7" s="335"/>
      <c r="G7" s="336"/>
    </row>
    <row r="8" spans="1:11" ht="12.75" x14ac:dyDescent="0.2">
      <c r="A8" s="59"/>
      <c r="B8" s="59"/>
      <c r="C8" s="59"/>
      <c r="D8" s="59"/>
      <c r="E8" s="59"/>
      <c r="F8" s="59"/>
      <c r="G8" s="59"/>
    </row>
    <row r="9" spans="1:11" ht="12.75" x14ac:dyDescent="0.2">
      <c r="A9" s="59"/>
      <c r="B9" s="59"/>
      <c r="C9" s="59"/>
      <c r="D9" s="59"/>
      <c r="E9" s="59"/>
      <c r="F9" s="59"/>
      <c r="G9" s="59"/>
    </row>
    <row r="10" spans="1:11" ht="12.75" x14ac:dyDescent="0.2">
      <c r="A10" s="59"/>
      <c r="B10" s="59"/>
      <c r="C10" s="59"/>
      <c r="D10" s="59"/>
      <c r="E10" s="59"/>
      <c r="F10" s="59"/>
      <c r="G10" s="59"/>
    </row>
    <row r="11" spans="1:11" ht="12.75" x14ac:dyDescent="0.2">
      <c r="A11" s="59"/>
      <c r="B11" s="59"/>
      <c r="C11" s="59"/>
      <c r="D11" s="59"/>
      <c r="E11" s="59"/>
      <c r="F11" s="59"/>
      <c r="G11" s="59"/>
    </row>
    <row r="12" spans="1:11" ht="12.75" x14ac:dyDescent="0.2">
      <c r="A12" s="59"/>
      <c r="B12" s="59"/>
      <c r="C12" s="59"/>
      <c r="D12" s="59"/>
      <c r="E12" s="59"/>
      <c r="F12" s="59"/>
      <c r="G12" s="59"/>
    </row>
    <row r="13" spans="1:11" ht="12.75" x14ac:dyDescent="0.2">
      <c r="A13" s="59"/>
      <c r="B13" s="59"/>
      <c r="C13" s="59"/>
      <c r="D13" s="59"/>
      <c r="E13" s="59"/>
      <c r="F13" s="59"/>
      <c r="G13" s="59"/>
    </row>
    <row r="14" spans="1:11" s="1" customFormat="1" ht="12.75" x14ac:dyDescent="0.2">
      <c r="A14" s="59"/>
      <c r="B14" s="59"/>
      <c r="C14" s="59"/>
      <c r="D14" s="59"/>
      <c r="E14" s="59"/>
      <c r="F14" s="59"/>
      <c r="G14" s="59"/>
      <c r="I14" s="12"/>
      <c r="J14" s="4"/>
      <c r="K14" s="4"/>
    </row>
  </sheetData>
  <mergeCells count="5">
    <mergeCell ref="B3:F3"/>
    <mergeCell ref="B4:F4"/>
    <mergeCell ref="B5:F5"/>
    <mergeCell ref="A6:G6"/>
    <mergeCell ref="B7:G7"/>
  </mergeCells>
  <printOptions horizontalCentered="1"/>
  <pageMargins left="0.25" right="0.25" top="0.5" bottom="0.5" header="0.3" footer="0.05"/>
  <pageSetup orientation="landscape" horizontalDpi="4294967292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19"/>
  <sheetViews>
    <sheetView view="pageBreakPreview" zoomScaleSheetLayoutView="100" workbookViewId="0">
      <selection activeCell="J7" sqref="J7"/>
    </sheetView>
  </sheetViews>
  <sheetFormatPr defaultColWidth="9.140625" defaultRowHeight="11.25" x14ac:dyDescent="0.15"/>
  <cols>
    <col min="1" max="1" width="5.85546875" style="4" bestFit="1" customWidth="1"/>
    <col min="2" max="2" width="12.5703125" style="4" customWidth="1"/>
    <col min="3" max="3" width="50.42578125" style="4" customWidth="1"/>
    <col min="4" max="4" width="5" style="4" bestFit="1" customWidth="1"/>
    <col min="5" max="5" width="6.28515625" style="4" bestFit="1" customWidth="1"/>
    <col min="6" max="6" width="11.5703125" style="4" bestFit="1" customWidth="1"/>
    <col min="7" max="7" width="16.5703125" style="4" bestFit="1" customWidth="1"/>
    <col min="8" max="8" width="16.5703125" style="93" customWidth="1"/>
    <col min="9" max="9" width="9.140625" style="1"/>
    <col min="10" max="10" width="10.5703125" style="12" bestFit="1" customWidth="1"/>
    <col min="11" max="11" width="13.28515625" style="4" bestFit="1" customWidth="1"/>
    <col min="12" max="16384" width="9.140625" style="4"/>
  </cols>
  <sheetData>
    <row r="1" spans="1:12" ht="25.5" x14ac:dyDescent="0.15">
      <c r="A1" s="48" t="s">
        <v>0</v>
      </c>
      <c r="B1" s="49" t="s">
        <v>5</v>
      </c>
      <c r="C1" s="49" t="s">
        <v>2</v>
      </c>
      <c r="D1" s="49" t="s">
        <v>3</v>
      </c>
      <c r="E1" s="49" t="s">
        <v>13</v>
      </c>
      <c r="F1" s="50" t="s">
        <v>11</v>
      </c>
      <c r="G1" s="50" t="s">
        <v>12</v>
      </c>
      <c r="H1" s="50" t="s">
        <v>120</v>
      </c>
      <c r="I1" s="40" t="s">
        <v>17</v>
      </c>
      <c r="J1" s="41" t="s">
        <v>14</v>
      </c>
      <c r="K1" s="42" t="s">
        <v>10</v>
      </c>
      <c r="L1" s="4" t="s">
        <v>16</v>
      </c>
    </row>
    <row r="2" spans="1:12" ht="38.25" x14ac:dyDescent="0.15">
      <c r="A2" s="51">
        <v>1</v>
      </c>
      <c r="B2" s="52">
        <v>5702000043</v>
      </c>
      <c r="C2" s="89" t="s">
        <v>232</v>
      </c>
      <c r="D2" s="54" t="s">
        <v>109</v>
      </c>
      <c r="E2" s="51">
        <v>4</v>
      </c>
      <c r="F2" s="55">
        <f>80*1.35*I2</f>
        <v>12960</v>
      </c>
      <c r="G2" s="56">
        <f t="shared" ref="G2:G7" si="0">F2*E2</f>
        <v>51840</v>
      </c>
      <c r="H2" s="89"/>
      <c r="I2" s="43">
        <v>120</v>
      </c>
      <c r="J2" s="44">
        <f>400/6</f>
        <v>66.666666666666671</v>
      </c>
      <c r="K2" s="45"/>
    </row>
    <row r="3" spans="1:12" ht="38.25" x14ac:dyDescent="0.15">
      <c r="A3" s="51">
        <v>2</v>
      </c>
      <c r="B3" s="52">
        <v>5702000044</v>
      </c>
      <c r="C3" s="89" t="s">
        <v>233</v>
      </c>
      <c r="D3" s="54" t="s">
        <v>109</v>
      </c>
      <c r="E3" s="51">
        <v>12</v>
      </c>
      <c r="F3" s="55">
        <f>80*1.35*I3</f>
        <v>11880</v>
      </c>
      <c r="G3" s="56">
        <f t="shared" si="0"/>
        <v>142560</v>
      </c>
      <c r="H3" s="89"/>
      <c r="I3" s="43">
        <v>110</v>
      </c>
      <c r="J3" s="44">
        <f>330/6</f>
        <v>55</v>
      </c>
      <c r="K3" s="45"/>
    </row>
    <row r="4" spans="1:12" ht="38.25" x14ac:dyDescent="0.15">
      <c r="A4" s="51">
        <v>3</v>
      </c>
      <c r="B4" s="52">
        <v>5702000045</v>
      </c>
      <c r="C4" s="89" t="s">
        <v>234</v>
      </c>
      <c r="D4" s="54" t="s">
        <v>109</v>
      </c>
      <c r="E4" s="51">
        <v>12</v>
      </c>
      <c r="F4" s="55">
        <f t="shared" ref="F4:F5" si="1">80*1.35*I4</f>
        <v>11340</v>
      </c>
      <c r="G4" s="56">
        <f t="shared" si="0"/>
        <v>136080</v>
      </c>
      <c r="H4" s="89"/>
      <c r="I4" s="43">
        <v>105</v>
      </c>
      <c r="J4" s="44">
        <f>300/6</f>
        <v>50</v>
      </c>
      <c r="K4" s="45"/>
    </row>
    <row r="5" spans="1:12" ht="12.75" x14ac:dyDescent="0.15">
      <c r="A5" s="51">
        <v>4</v>
      </c>
      <c r="B5" s="52">
        <v>5403000054</v>
      </c>
      <c r="C5" s="89" t="s">
        <v>235</v>
      </c>
      <c r="D5" s="54" t="s">
        <v>109</v>
      </c>
      <c r="E5" s="51">
        <v>20</v>
      </c>
      <c r="F5" s="55">
        <f t="shared" si="1"/>
        <v>0</v>
      </c>
      <c r="G5" s="56">
        <f t="shared" si="0"/>
        <v>0</v>
      </c>
      <c r="H5" s="89" t="s">
        <v>238</v>
      </c>
      <c r="I5" s="43"/>
      <c r="J5" s="44"/>
      <c r="K5" s="45"/>
    </row>
    <row r="6" spans="1:12" ht="25.5" x14ac:dyDescent="0.15">
      <c r="A6" s="51">
        <v>5</v>
      </c>
      <c r="B6" s="52">
        <v>5702000004</v>
      </c>
      <c r="C6" s="89" t="s">
        <v>236</v>
      </c>
      <c r="D6" s="54" t="s">
        <v>109</v>
      </c>
      <c r="E6" s="51">
        <v>2</v>
      </c>
      <c r="F6" s="55">
        <f>80*1.35*I6</f>
        <v>0</v>
      </c>
      <c r="G6" s="56">
        <f t="shared" si="0"/>
        <v>0</v>
      </c>
      <c r="H6" s="89" t="s">
        <v>238</v>
      </c>
      <c r="I6" s="43"/>
      <c r="J6" s="44"/>
      <c r="K6" s="45"/>
    </row>
    <row r="7" spans="1:12" ht="51" x14ac:dyDescent="0.15">
      <c r="A7" s="51">
        <v>6</v>
      </c>
      <c r="B7" s="52">
        <v>5201020006</v>
      </c>
      <c r="C7" s="89" t="s">
        <v>237</v>
      </c>
      <c r="D7" s="54" t="s">
        <v>109</v>
      </c>
      <c r="E7" s="51">
        <v>2</v>
      </c>
      <c r="F7" s="55">
        <f>80*1.35*I7</f>
        <v>86400</v>
      </c>
      <c r="G7" s="56">
        <f t="shared" si="0"/>
        <v>172800</v>
      </c>
      <c r="H7" s="89"/>
      <c r="I7" s="43">
        <v>800</v>
      </c>
      <c r="J7" s="44">
        <f>980/6</f>
        <v>163.33333333333334</v>
      </c>
      <c r="K7" s="45"/>
    </row>
    <row r="8" spans="1:12" ht="12.75" x14ac:dyDescent="0.15">
      <c r="A8" s="51">
        <v>7</v>
      </c>
      <c r="B8" s="337" t="s">
        <v>7</v>
      </c>
      <c r="C8" s="337"/>
      <c r="D8" s="337"/>
      <c r="E8" s="337"/>
      <c r="F8" s="337"/>
      <c r="G8" s="57">
        <f>SUM(G2:G7)</f>
        <v>503280</v>
      </c>
      <c r="H8" s="90"/>
      <c r="I8" s="46"/>
      <c r="J8" s="46"/>
      <c r="K8" s="47"/>
    </row>
    <row r="9" spans="1:12" ht="12.75" x14ac:dyDescent="0.15">
      <c r="A9" s="51">
        <v>8</v>
      </c>
      <c r="B9" s="337" t="s">
        <v>51</v>
      </c>
      <c r="C9" s="337"/>
      <c r="D9" s="337"/>
      <c r="E9" s="337"/>
      <c r="F9" s="337"/>
      <c r="G9" s="57">
        <f>G8*18%</f>
        <v>90590.399999999994</v>
      </c>
      <c r="H9" s="90"/>
    </row>
    <row r="10" spans="1:12" ht="12.75" x14ac:dyDescent="0.15">
      <c r="A10" s="51">
        <v>9</v>
      </c>
      <c r="B10" s="337" t="s">
        <v>8</v>
      </c>
      <c r="C10" s="337"/>
      <c r="D10" s="337"/>
      <c r="E10" s="337"/>
      <c r="F10" s="337"/>
      <c r="G10" s="57">
        <f>G9+G8</f>
        <v>593870.4</v>
      </c>
      <c r="H10" s="90"/>
    </row>
    <row r="11" spans="1:12" ht="12.75" x14ac:dyDescent="0.15">
      <c r="A11" s="344"/>
      <c r="B11" s="345"/>
      <c r="C11" s="345"/>
      <c r="D11" s="345"/>
      <c r="E11" s="345"/>
      <c r="F11" s="345"/>
      <c r="G11" s="346"/>
      <c r="H11" s="91"/>
    </row>
    <row r="12" spans="1:12" ht="140.25" x14ac:dyDescent="0.15">
      <c r="A12" s="58" t="s">
        <v>9</v>
      </c>
      <c r="B12" s="335" t="s">
        <v>108</v>
      </c>
      <c r="C12" s="335"/>
      <c r="D12" s="335"/>
      <c r="E12" s="335"/>
      <c r="F12" s="335"/>
      <c r="G12" s="336"/>
      <c r="H12" s="88"/>
    </row>
    <row r="13" spans="1:12" ht="12.75" x14ac:dyDescent="0.2">
      <c r="A13" s="59"/>
      <c r="B13" s="59"/>
      <c r="C13" s="59"/>
      <c r="D13" s="59"/>
      <c r="E13" s="59"/>
      <c r="F13" s="59"/>
      <c r="G13" s="59"/>
      <c r="H13" s="92"/>
    </row>
    <row r="14" spans="1:12" ht="12.75" x14ac:dyDescent="0.2">
      <c r="A14" s="59"/>
      <c r="B14" s="59"/>
      <c r="C14" s="59"/>
      <c r="D14" s="59"/>
      <c r="E14" s="59"/>
      <c r="F14" s="59"/>
      <c r="G14" s="59"/>
      <c r="H14" s="92"/>
    </row>
    <row r="15" spans="1:12" ht="12.75" x14ac:dyDescent="0.2">
      <c r="A15" s="59"/>
      <c r="B15" s="59"/>
      <c r="C15" s="59"/>
      <c r="D15" s="59"/>
      <c r="E15" s="59"/>
      <c r="F15" s="59"/>
      <c r="G15" s="59"/>
      <c r="H15" s="92"/>
    </row>
    <row r="16" spans="1:12" ht="12.75" x14ac:dyDescent="0.2">
      <c r="A16" s="59"/>
      <c r="B16" s="59"/>
      <c r="C16" s="59"/>
      <c r="D16" s="59"/>
      <c r="E16" s="59"/>
      <c r="F16" s="59"/>
      <c r="G16" s="59"/>
      <c r="H16" s="92"/>
    </row>
    <row r="17" spans="1:12" ht="12.75" x14ac:dyDescent="0.2">
      <c r="A17" s="59"/>
      <c r="B17" s="59"/>
      <c r="C17" s="59"/>
      <c r="D17" s="59"/>
      <c r="E17" s="59"/>
      <c r="F17" s="59"/>
      <c r="G17" s="59"/>
      <c r="H17" s="92"/>
    </row>
    <row r="18" spans="1:12" ht="12.75" x14ac:dyDescent="0.2">
      <c r="A18" s="59"/>
      <c r="B18" s="59"/>
      <c r="C18" s="59"/>
      <c r="D18" s="59"/>
      <c r="E18" s="59"/>
      <c r="F18" s="59"/>
      <c r="G18" s="59"/>
      <c r="H18" s="92"/>
    </row>
    <row r="19" spans="1:12" s="1" customFormat="1" ht="12.75" x14ac:dyDescent="0.2">
      <c r="A19" s="59"/>
      <c r="B19" s="59"/>
      <c r="C19" s="59"/>
      <c r="D19" s="59"/>
      <c r="E19" s="59"/>
      <c r="F19" s="59"/>
      <c r="G19" s="59"/>
      <c r="H19" s="92"/>
      <c r="J19" s="12"/>
      <c r="K19" s="4"/>
      <c r="L19" s="4"/>
    </row>
  </sheetData>
  <mergeCells count="5">
    <mergeCell ref="B8:F8"/>
    <mergeCell ref="B9:F9"/>
    <mergeCell ref="B10:F10"/>
    <mergeCell ref="A11:G11"/>
    <mergeCell ref="B12:G12"/>
  </mergeCells>
  <printOptions horizontalCentered="1"/>
  <pageMargins left="0.25" right="0.25" top="0.5" bottom="0.5" header="0.3" footer="0.05"/>
  <pageSetup orientation="landscape" horizontalDpi="4294967292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L22"/>
  <sheetViews>
    <sheetView view="pageBreakPreview" topLeftCell="A6" zoomScaleSheetLayoutView="100" workbookViewId="0">
      <selection activeCell="C7" sqref="C7"/>
    </sheetView>
  </sheetViews>
  <sheetFormatPr defaultColWidth="9.140625" defaultRowHeight="11.25" x14ac:dyDescent="0.15"/>
  <cols>
    <col min="1" max="1" width="5.85546875" style="4" bestFit="1" customWidth="1"/>
    <col min="2" max="2" width="12.5703125" style="4" customWidth="1"/>
    <col min="3" max="3" width="50.42578125" style="4" customWidth="1"/>
    <col min="4" max="4" width="5" style="4" bestFit="1" customWidth="1"/>
    <col min="5" max="5" width="6.28515625" style="4" bestFit="1" customWidth="1"/>
    <col min="6" max="6" width="11.5703125" style="4" bestFit="1" customWidth="1"/>
    <col min="7" max="7" width="16.5703125" style="4" bestFit="1" customWidth="1"/>
    <col min="8" max="8" width="16.5703125" style="93" customWidth="1"/>
    <col min="9" max="9" width="9.140625" style="1"/>
    <col min="10" max="10" width="10.5703125" style="12" bestFit="1" customWidth="1"/>
    <col min="11" max="11" width="13.28515625" style="4" bestFit="1" customWidth="1"/>
    <col min="12" max="16384" width="9.140625" style="4"/>
  </cols>
  <sheetData>
    <row r="1" spans="1:12" ht="25.5" x14ac:dyDescent="0.15">
      <c r="A1" s="48" t="s">
        <v>0</v>
      </c>
      <c r="B1" s="49" t="s">
        <v>5</v>
      </c>
      <c r="C1" s="49" t="s">
        <v>2</v>
      </c>
      <c r="D1" s="49" t="s">
        <v>3</v>
      </c>
      <c r="E1" s="49" t="s">
        <v>13</v>
      </c>
      <c r="F1" s="50" t="s">
        <v>11</v>
      </c>
      <c r="G1" s="50" t="s">
        <v>12</v>
      </c>
      <c r="H1" s="50" t="s">
        <v>120</v>
      </c>
      <c r="I1" s="40" t="s">
        <v>17</v>
      </c>
      <c r="J1" s="41" t="s">
        <v>222</v>
      </c>
      <c r="K1" s="42" t="s">
        <v>110</v>
      </c>
      <c r="L1" s="4" t="s">
        <v>107</v>
      </c>
    </row>
    <row r="2" spans="1:12" ht="38.25" x14ac:dyDescent="0.15">
      <c r="A2" s="51">
        <v>1</v>
      </c>
      <c r="B2" s="51">
        <v>5308000019</v>
      </c>
      <c r="C2" s="53" t="s">
        <v>239</v>
      </c>
      <c r="D2" s="54" t="s">
        <v>109</v>
      </c>
      <c r="E2" s="51">
        <v>1</v>
      </c>
      <c r="F2" s="55" t="s">
        <v>252</v>
      </c>
      <c r="G2" s="56">
        <v>0</v>
      </c>
      <c r="H2" s="89" t="s">
        <v>253</v>
      </c>
      <c r="I2" s="43"/>
      <c r="J2" s="44"/>
      <c r="K2" s="45"/>
    </row>
    <row r="3" spans="1:12" ht="38.25" x14ac:dyDescent="0.15">
      <c r="A3" s="51">
        <v>2</v>
      </c>
      <c r="B3" s="51">
        <v>5308000042</v>
      </c>
      <c r="C3" s="53" t="s">
        <v>240</v>
      </c>
      <c r="D3" s="54" t="s">
        <v>109</v>
      </c>
      <c r="E3" s="51">
        <v>1</v>
      </c>
      <c r="F3" s="55" t="s">
        <v>252</v>
      </c>
      <c r="G3" s="56">
        <v>0</v>
      </c>
      <c r="H3" s="89" t="s">
        <v>253</v>
      </c>
      <c r="I3" s="43"/>
      <c r="J3" s="44"/>
      <c r="K3" s="45"/>
    </row>
    <row r="4" spans="1:12" ht="38.25" x14ac:dyDescent="0.15">
      <c r="A4" s="51">
        <v>3</v>
      </c>
      <c r="B4" s="51">
        <v>5207000018</v>
      </c>
      <c r="C4" s="53" t="s">
        <v>241</v>
      </c>
      <c r="D4" s="54" t="s">
        <v>109</v>
      </c>
      <c r="E4" s="51">
        <v>2</v>
      </c>
      <c r="F4" s="55" t="s">
        <v>252</v>
      </c>
      <c r="G4" s="56">
        <v>0</v>
      </c>
      <c r="H4" s="89" t="s">
        <v>253</v>
      </c>
      <c r="I4" s="43"/>
      <c r="J4" s="44"/>
      <c r="K4" s="45"/>
    </row>
    <row r="5" spans="1:12" ht="25.5" x14ac:dyDescent="0.15">
      <c r="A5" s="51">
        <v>4</v>
      </c>
      <c r="B5" s="51">
        <v>5305000010</v>
      </c>
      <c r="C5" s="53" t="s">
        <v>242</v>
      </c>
      <c r="D5" s="54" t="s">
        <v>109</v>
      </c>
      <c r="E5" s="51">
        <v>1</v>
      </c>
      <c r="F5" s="55">
        <f t="shared" ref="F5" si="0">80*1.35*I5</f>
        <v>0</v>
      </c>
      <c r="G5" s="56">
        <f t="shared" ref="G5:G10" si="1">F5*E5</f>
        <v>0</v>
      </c>
      <c r="H5" s="89"/>
      <c r="I5" s="43"/>
      <c r="J5" s="44"/>
      <c r="K5" s="45"/>
    </row>
    <row r="6" spans="1:12" ht="25.5" x14ac:dyDescent="0.15">
      <c r="A6" s="51">
        <v>5</v>
      </c>
      <c r="B6" s="51">
        <v>6003990004</v>
      </c>
      <c r="C6" s="53" t="s">
        <v>243</v>
      </c>
      <c r="D6" s="54" t="s">
        <v>109</v>
      </c>
      <c r="E6" s="51">
        <v>1</v>
      </c>
      <c r="F6" s="55" t="s">
        <v>256</v>
      </c>
      <c r="G6" s="56">
        <v>0</v>
      </c>
      <c r="H6" s="89" t="s">
        <v>254</v>
      </c>
      <c r="I6" s="43"/>
      <c r="J6" s="44"/>
      <c r="K6" s="45"/>
    </row>
    <row r="7" spans="1:12" ht="38.25" x14ac:dyDescent="0.15">
      <c r="A7" s="51">
        <v>6</v>
      </c>
      <c r="B7" s="51">
        <v>6003990001</v>
      </c>
      <c r="C7" s="53" t="s">
        <v>244</v>
      </c>
      <c r="D7" s="54" t="s">
        <v>105</v>
      </c>
      <c r="E7" s="51">
        <v>2</v>
      </c>
      <c r="F7" s="55">
        <f>80*1.35*I7</f>
        <v>291600</v>
      </c>
      <c r="G7" s="56">
        <f t="shared" si="1"/>
        <v>583200</v>
      </c>
      <c r="H7" s="89" t="s">
        <v>255</v>
      </c>
      <c r="I7" s="43">
        <v>2700</v>
      </c>
      <c r="J7" s="44"/>
      <c r="K7" s="45">
        <v>2600</v>
      </c>
    </row>
    <row r="8" spans="1:12" ht="25.5" x14ac:dyDescent="0.15">
      <c r="A8" s="51">
        <v>7</v>
      </c>
      <c r="B8" s="51">
        <v>6002000008</v>
      </c>
      <c r="C8" s="53" t="s">
        <v>245</v>
      </c>
      <c r="D8" s="54" t="s">
        <v>109</v>
      </c>
      <c r="E8" s="51">
        <v>2</v>
      </c>
      <c r="F8" s="55">
        <f>80*1.35*I8</f>
        <v>291600</v>
      </c>
      <c r="G8" s="56">
        <f t="shared" si="1"/>
        <v>583200</v>
      </c>
      <c r="H8" s="89"/>
      <c r="I8" s="43">
        <v>2700</v>
      </c>
      <c r="J8" s="44"/>
      <c r="K8" s="45">
        <v>2600</v>
      </c>
    </row>
    <row r="9" spans="1:12" ht="25.5" x14ac:dyDescent="0.15">
      <c r="A9" s="51">
        <v>8</v>
      </c>
      <c r="B9" s="51">
        <v>5002990026</v>
      </c>
      <c r="C9" s="53" t="s">
        <v>246</v>
      </c>
      <c r="D9" s="54" t="s">
        <v>109</v>
      </c>
      <c r="E9" s="51">
        <v>10</v>
      </c>
      <c r="F9" s="55">
        <f t="shared" ref="F9:F10" si="2">80*1.35*I9</f>
        <v>19440</v>
      </c>
      <c r="G9" s="56">
        <f t="shared" si="1"/>
        <v>194400</v>
      </c>
      <c r="H9" s="89"/>
      <c r="I9" s="43">
        <v>180</v>
      </c>
      <c r="J9" s="44" t="s">
        <v>257</v>
      </c>
      <c r="K9" s="45">
        <v>1750</v>
      </c>
    </row>
    <row r="10" spans="1:12" ht="25.5" x14ac:dyDescent="0.15">
      <c r="A10" s="51">
        <v>9</v>
      </c>
      <c r="B10" s="51">
        <v>3009000036</v>
      </c>
      <c r="C10" s="53" t="s">
        <v>247</v>
      </c>
      <c r="D10" s="54" t="s">
        <v>109</v>
      </c>
      <c r="E10" s="51">
        <v>1</v>
      </c>
      <c r="F10" s="55">
        <f t="shared" si="2"/>
        <v>108000</v>
      </c>
      <c r="G10" s="56">
        <f t="shared" si="1"/>
        <v>108000</v>
      </c>
      <c r="H10" s="89"/>
      <c r="I10" s="43">
        <v>1000</v>
      </c>
      <c r="J10" s="44"/>
      <c r="K10" s="45">
        <v>690</v>
      </c>
    </row>
    <row r="11" spans="1:12" ht="12.75" x14ac:dyDescent="0.15">
      <c r="A11" s="51">
        <v>10</v>
      </c>
      <c r="B11" s="337" t="s">
        <v>7</v>
      </c>
      <c r="C11" s="337"/>
      <c r="D11" s="337"/>
      <c r="E11" s="337"/>
      <c r="F11" s="337"/>
      <c r="G11" s="57">
        <f>SUM(G2:G10)</f>
        <v>1468800</v>
      </c>
      <c r="H11" s="90"/>
      <c r="I11" s="46"/>
      <c r="J11" s="46"/>
      <c r="K11" s="47"/>
    </row>
    <row r="12" spans="1:12" ht="12.75" x14ac:dyDescent="0.15">
      <c r="A12" s="51">
        <v>11</v>
      </c>
      <c r="B12" s="337" t="s">
        <v>51</v>
      </c>
      <c r="C12" s="337"/>
      <c r="D12" s="337"/>
      <c r="E12" s="337"/>
      <c r="F12" s="337"/>
      <c r="G12" s="57">
        <f>G11*18%</f>
        <v>264384</v>
      </c>
      <c r="H12" s="90"/>
    </row>
    <row r="13" spans="1:12" ht="12.75" x14ac:dyDescent="0.15">
      <c r="A13" s="51">
        <v>12</v>
      </c>
      <c r="B13" s="337" t="s">
        <v>8</v>
      </c>
      <c r="C13" s="337"/>
      <c r="D13" s="337"/>
      <c r="E13" s="337"/>
      <c r="F13" s="337"/>
      <c r="G13" s="57">
        <f>G12+G11</f>
        <v>1733184</v>
      </c>
      <c r="H13" s="90"/>
    </row>
    <row r="14" spans="1:12" ht="12.75" x14ac:dyDescent="0.15">
      <c r="A14" s="344"/>
      <c r="B14" s="345"/>
      <c r="C14" s="345"/>
      <c r="D14" s="345"/>
      <c r="E14" s="345"/>
      <c r="F14" s="345"/>
      <c r="G14" s="346"/>
      <c r="H14" s="91"/>
    </row>
    <row r="15" spans="1:12" ht="140.25" x14ac:dyDescent="0.15">
      <c r="A15" s="58" t="s">
        <v>9</v>
      </c>
      <c r="B15" s="335" t="s">
        <v>108</v>
      </c>
      <c r="C15" s="335"/>
      <c r="D15" s="335"/>
      <c r="E15" s="335"/>
      <c r="F15" s="335"/>
      <c r="G15" s="336"/>
      <c r="H15" s="88"/>
    </row>
    <row r="16" spans="1:12" ht="12.75" x14ac:dyDescent="0.2">
      <c r="A16" s="59"/>
      <c r="B16" s="59"/>
      <c r="C16" s="59"/>
      <c r="D16" s="59"/>
      <c r="E16" s="59"/>
      <c r="F16" s="59"/>
      <c r="G16" s="59"/>
      <c r="H16" s="92"/>
    </row>
    <row r="17" spans="1:12" ht="12.75" x14ac:dyDescent="0.2">
      <c r="A17" s="59"/>
      <c r="B17" s="59"/>
      <c r="C17" s="59"/>
      <c r="D17" s="59"/>
      <c r="E17" s="59"/>
      <c r="F17" s="59"/>
      <c r="G17" s="59"/>
      <c r="H17" s="92"/>
    </row>
    <row r="18" spans="1:12" ht="12.75" x14ac:dyDescent="0.2">
      <c r="A18" s="59"/>
      <c r="B18" s="59"/>
      <c r="C18" s="59"/>
      <c r="D18" s="59"/>
      <c r="E18" s="59"/>
      <c r="F18" s="59"/>
      <c r="G18" s="59"/>
      <c r="H18" s="92"/>
    </row>
    <row r="19" spans="1:12" ht="12.75" x14ac:dyDescent="0.2">
      <c r="A19" s="59"/>
      <c r="B19" s="59"/>
      <c r="C19" s="59"/>
      <c r="D19" s="59"/>
      <c r="E19" s="59"/>
      <c r="F19" s="59"/>
      <c r="G19" s="59"/>
      <c r="H19" s="92"/>
    </row>
    <row r="20" spans="1:12" ht="12.75" x14ac:dyDescent="0.2">
      <c r="A20" s="59"/>
      <c r="B20" s="59"/>
      <c r="C20" s="59"/>
      <c r="D20" s="59"/>
      <c r="E20" s="59"/>
      <c r="F20" s="59"/>
      <c r="G20" s="59"/>
      <c r="H20" s="92"/>
    </row>
    <row r="21" spans="1:12" ht="12.75" x14ac:dyDescent="0.2">
      <c r="A21" s="59"/>
      <c r="B21" s="59"/>
      <c r="C21" s="59"/>
      <c r="D21" s="59"/>
      <c r="E21" s="59"/>
      <c r="F21" s="59"/>
      <c r="G21" s="59"/>
      <c r="H21" s="92"/>
    </row>
    <row r="22" spans="1:12" s="1" customFormat="1" ht="12.75" x14ac:dyDescent="0.2">
      <c r="A22" s="59"/>
      <c r="B22" s="59"/>
      <c r="C22" s="59"/>
      <c r="D22" s="59"/>
      <c r="E22" s="59"/>
      <c r="F22" s="59"/>
      <c r="G22" s="59"/>
      <c r="H22" s="92"/>
      <c r="J22" s="12"/>
      <c r="K22" s="4"/>
      <c r="L22" s="4"/>
    </row>
  </sheetData>
  <mergeCells count="5">
    <mergeCell ref="B11:F11"/>
    <mergeCell ref="B12:F12"/>
    <mergeCell ref="B13:F13"/>
    <mergeCell ref="A14:G14"/>
    <mergeCell ref="B15:G15"/>
  </mergeCells>
  <printOptions horizontalCentered="1"/>
  <pageMargins left="0.25" right="0.25" top="0.5" bottom="0.5" header="0.3" footer="0.05"/>
  <pageSetup orientation="landscape" horizontalDpi="4294967292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15"/>
  <sheetViews>
    <sheetView view="pageBreakPreview" zoomScaleSheetLayoutView="100" workbookViewId="0">
      <selection activeCell="B2" sqref="B2"/>
    </sheetView>
  </sheetViews>
  <sheetFormatPr defaultColWidth="9.140625" defaultRowHeight="11.25" x14ac:dyDescent="0.15"/>
  <cols>
    <col min="1" max="1" width="5.85546875" style="4" bestFit="1" customWidth="1"/>
    <col min="2" max="2" width="12.5703125" style="4" customWidth="1"/>
    <col min="3" max="3" width="50.42578125" style="4" customWidth="1"/>
    <col min="4" max="4" width="5" style="4" bestFit="1" customWidth="1"/>
    <col min="5" max="5" width="6.28515625" style="4" bestFit="1" customWidth="1"/>
    <col min="6" max="6" width="11.5703125" style="4" bestFit="1" customWidth="1"/>
    <col min="7" max="7" width="16.5703125" style="4" bestFit="1" customWidth="1"/>
    <col min="8" max="8" width="16.5703125" style="93" customWidth="1"/>
    <col min="9" max="9" width="9.140625" style="1"/>
    <col min="10" max="10" width="10.5703125" style="12" bestFit="1" customWidth="1"/>
    <col min="11" max="11" width="13.28515625" style="4" bestFit="1" customWidth="1"/>
    <col min="12" max="16384" width="9.140625" style="4"/>
  </cols>
  <sheetData>
    <row r="1" spans="1:12" ht="25.5" x14ac:dyDescent="0.15">
      <c r="A1" s="48" t="s">
        <v>0</v>
      </c>
      <c r="B1" s="49" t="s">
        <v>5</v>
      </c>
      <c r="C1" s="49" t="s">
        <v>2</v>
      </c>
      <c r="D1" s="49" t="s">
        <v>3</v>
      </c>
      <c r="E1" s="49" t="s">
        <v>13</v>
      </c>
      <c r="F1" s="50" t="s">
        <v>11</v>
      </c>
      <c r="G1" s="50" t="s">
        <v>12</v>
      </c>
      <c r="H1" s="50" t="s">
        <v>120</v>
      </c>
      <c r="I1" s="40" t="s">
        <v>17</v>
      </c>
      <c r="J1" s="41" t="s">
        <v>222</v>
      </c>
      <c r="K1" s="42" t="s">
        <v>10</v>
      </c>
      <c r="L1" s="4" t="s">
        <v>107</v>
      </c>
    </row>
    <row r="2" spans="1:12" ht="127.5" x14ac:dyDescent="0.15">
      <c r="A2" s="51">
        <v>1</v>
      </c>
      <c r="B2" s="51">
        <v>7304000097</v>
      </c>
      <c r="C2" s="53" t="s">
        <v>248</v>
      </c>
      <c r="D2" s="54" t="s">
        <v>109</v>
      </c>
      <c r="E2" s="51">
        <v>20</v>
      </c>
      <c r="F2" s="55">
        <f>80*1.35*I2</f>
        <v>3456</v>
      </c>
      <c r="G2" s="56">
        <f t="shared" ref="G2:G3" si="0">F2*E2</f>
        <v>69120</v>
      </c>
      <c r="H2" s="89"/>
      <c r="I2" s="43">
        <v>32</v>
      </c>
      <c r="J2" s="44"/>
      <c r="K2" s="45">
        <v>25</v>
      </c>
    </row>
    <row r="3" spans="1:12" ht="127.5" x14ac:dyDescent="0.15">
      <c r="A3" s="51">
        <v>2</v>
      </c>
      <c r="B3" s="51">
        <v>7304000096</v>
      </c>
      <c r="C3" s="53" t="s">
        <v>249</v>
      </c>
      <c r="D3" s="54" t="s">
        <v>109</v>
      </c>
      <c r="E3" s="51">
        <v>6</v>
      </c>
      <c r="F3" s="55">
        <f>80*1.35*I3</f>
        <v>4860</v>
      </c>
      <c r="G3" s="56">
        <f t="shared" si="0"/>
        <v>29160</v>
      </c>
      <c r="H3" s="89"/>
      <c r="I3" s="43">
        <v>45</v>
      </c>
      <c r="J3" s="44"/>
      <c r="K3" s="45">
        <v>38</v>
      </c>
    </row>
    <row r="4" spans="1:12" ht="12.75" x14ac:dyDescent="0.15">
      <c r="A4" s="51">
        <v>3</v>
      </c>
      <c r="B4" s="337" t="s">
        <v>7</v>
      </c>
      <c r="C4" s="337"/>
      <c r="D4" s="337"/>
      <c r="E4" s="337"/>
      <c r="F4" s="337"/>
      <c r="G4" s="57">
        <f>SUM(G2:G3)</f>
        <v>98280</v>
      </c>
      <c r="H4" s="90"/>
      <c r="I4" s="46"/>
      <c r="J4" s="46"/>
      <c r="K4" s="47"/>
    </row>
    <row r="5" spans="1:12" ht="12.75" x14ac:dyDescent="0.15">
      <c r="A5" s="51">
        <v>4</v>
      </c>
      <c r="B5" s="337" t="s">
        <v>51</v>
      </c>
      <c r="C5" s="337"/>
      <c r="D5" s="337"/>
      <c r="E5" s="337"/>
      <c r="F5" s="337"/>
      <c r="G5" s="57">
        <f>G4*18%</f>
        <v>17690.399999999998</v>
      </c>
      <c r="H5" s="90"/>
    </row>
    <row r="6" spans="1:12" ht="12.75" x14ac:dyDescent="0.15">
      <c r="A6" s="51">
        <v>5</v>
      </c>
      <c r="B6" s="337" t="s">
        <v>8</v>
      </c>
      <c r="C6" s="337"/>
      <c r="D6" s="337"/>
      <c r="E6" s="337"/>
      <c r="F6" s="337"/>
      <c r="G6" s="57">
        <f>G5+G4</f>
        <v>115970.4</v>
      </c>
      <c r="H6" s="90"/>
    </row>
    <row r="7" spans="1:12" ht="12.75" x14ac:dyDescent="0.15">
      <c r="A7" s="344"/>
      <c r="B7" s="345"/>
      <c r="C7" s="345"/>
      <c r="D7" s="345"/>
      <c r="E7" s="345"/>
      <c r="F7" s="345"/>
      <c r="G7" s="346"/>
      <c r="H7" s="91"/>
    </row>
    <row r="8" spans="1:12" ht="140.25" x14ac:dyDescent="0.15">
      <c r="A8" s="58" t="s">
        <v>9</v>
      </c>
      <c r="B8" s="335" t="s">
        <v>108</v>
      </c>
      <c r="C8" s="335"/>
      <c r="D8" s="335"/>
      <c r="E8" s="335"/>
      <c r="F8" s="335"/>
      <c r="G8" s="336"/>
      <c r="H8" s="88"/>
    </row>
    <row r="9" spans="1:12" ht="12.75" x14ac:dyDescent="0.2">
      <c r="A9" s="59"/>
      <c r="B9" s="59"/>
      <c r="C9" s="59"/>
      <c r="D9" s="59"/>
      <c r="E9" s="59"/>
      <c r="F9" s="59"/>
      <c r="G9" s="59"/>
      <c r="H9" s="92"/>
    </row>
    <row r="10" spans="1:12" ht="12.75" x14ac:dyDescent="0.2">
      <c r="A10" s="59"/>
      <c r="B10" s="59"/>
      <c r="C10" s="59"/>
      <c r="D10" s="59"/>
      <c r="E10" s="59"/>
      <c r="F10" s="59"/>
      <c r="G10" s="59"/>
      <c r="H10" s="92"/>
    </row>
    <row r="11" spans="1:12" ht="12.75" x14ac:dyDescent="0.2">
      <c r="A11" s="59"/>
      <c r="B11" s="59"/>
      <c r="C11" s="59"/>
      <c r="D11" s="59"/>
      <c r="E11" s="59"/>
      <c r="F11" s="59"/>
      <c r="G11" s="59"/>
      <c r="H11" s="92"/>
    </row>
    <row r="12" spans="1:12" ht="12.75" x14ac:dyDescent="0.2">
      <c r="A12" s="59"/>
      <c r="B12" s="59"/>
      <c r="C12" s="59"/>
      <c r="D12" s="59"/>
      <c r="E12" s="59"/>
      <c r="F12" s="59"/>
      <c r="G12" s="59"/>
      <c r="H12" s="92"/>
    </row>
    <row r="13" spans="1:12" ht="12.75" x14ac:dyDescent="0.2">
      <c r="A13" s="59"/>
      <c r="B13" s="59"/>
      <c r="C13" s="59"/>
      <c r="D13" s="59"/>
      <c r="E13" s="59"/>
      <c r="F13" s="59"/>
      <c r="G13" s="59"/>
      <c r="H13" s="92"/>
    </row>
    <row r="14" spans="1:12" ht="12.75" x14ac:dyDescent="0.2">
      <c r="A14" s="59"/>
      <c r="B14" s="59"/>
      <c r="C14" s="59"/>
      <c r="D14" s="59"/>
      <c r="E14" s="59"/>
      <c r="F14" s="59"/>
      <c r="G14" s="59"/>
      <c r="H14" s="92"/>
    </row>
    <row r="15" spans="1:12" s="1" customFormat="1" ht="12.75" x14ac:dyDescent="0.2">
      <c r="A15" s="59"/>
      <c r="B15" s="59"/>
      <c r="C15" s="59"/>
      <c r="D15" s="59"/>
      <c r="E15" s="59"/>
      <c r="F15" s="59"/>
      <c r="G15" s="59"/>
      <c r="H15" s="92"/>
      <c r="J15" s="12"/>
      <c r="K15" s="4"/>
      <c r="L15" s="4"/>
    </row>
  </sheetData>
  <mergeCells count="5">
    <mergeCell ref="B4:F4"/>
    <mergeCell ref="B5:F5"/>
    <mergeCell ref="B6:F6"/>
    <mergeCell ref="A7:G7"/>
    <mergeCell ref="B8:G8"/>
  </mergeCells>
  <printOptions horizontalCentered="1"/>
  <pageMargins left="0.25" right="0.25" top="0.5" bottom="0.5" header="0.3" footer="0.05"/>
  <pageSetup orientation="landscape" horizontalDpi="4294967292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K14"/>
  <sheetViews>
    <sheetView view="pageBreakPreview" zoomScaleSheetLayoutView="100" workbookViewId="0">
      <selection sqref="A1:G7"/>
    </sheetView>
  </sheetViews>
  <sheetFormatPr defaultColWidth="9.140625" defaultRowHeight="11.25" x14ac:dyDescent="0.15"/>
  <cols>
    <col min="1" max="1" width="5.85546875" style="4" bestFit="1" customWidth="1"/>
    <col min="2" max="2" width="12.5703125" style="4" customWidth="1"/>
    <col min="3" max="3" width="50.42578125" style="4" customWidth="1"/>
    <col min="4" max="4" width="5" style="4" bestFit="1" customWidth="1"/>
    <col min="5" max="5" width="6.28515625" style="4" bestFit="1" customWidth="1"/>
    <col min="6" max="6" width="11.5703125" style="4" bestFit="1" customWidth="1"/>
    <col min="7" max="7" width="16.5703125" style="4" bestFit="1" customWidth="1"/>
    <col min="8" max="8" width="16.5703125" style="93" customWidth="1"/>
    <col min="9" max="9" width="9.140625" style="1"/>
    <col min="10" max="10" width="13.28515625" style="4" bestFit="1" customWidth="1"/>
    <col min="11" max="16384" width="9.140625" style="4"/>
  </cols>
  <sheetData>
    <row r="1" spans="1:11" ht="25.5" x14ac:dyDescent="0.15">
      <c r="A1" s="48" t="s">
        <v>0</v>
      </c>
      <c r="B1" s="49" t="s">
        <v>5</v>
      </c>
      <c r="C1" s="49" t="s">
        <v>2</v>
      </c>
      <c r="D1" s="49" t="s">
        <v>3</v>
      </c>
      <c r="E1" s="49" t="s">
        <v>13</v>
      </c>
      <c r="F1" s="50" t="s">
        <v>11</v>
      </c>
      <c r="G1" s="50" t="s">
        <v>12</v>
      </c>
      <c r="H1" s="50" t="s">
        <v>120</v>
      </c>
      <c r="I1" s="40" t="s">
        <v>17</v>
      </c>
      <c r="J1" s="42" t="s">
        <v>10</v>
      </c>
      <c r="K1" s="4" t="s">
        <v>14</v>
      </c>
    </row>
    <row r="2" spans="1:11" ht="38.25" x14ac:dyDescent="0.15">
      <c r="A2" s="51">
        <v>1</v>
      </c>
      <c r="B2" s="51">
        <v>3403000104</v>
      </c>
      <c r="C2" s="53" t="s">
        <v>250</v>
      </c>
      <c r="D2" s="54" t="s">
        <v>109</v>
      </c>
      <c r="E2" s="51">
        <v>8</v>
      </c>
      <c r="F2" s="55">
        <f>80*1.35*I2</f>
        <v>63720</v>
      </c>
      <c r="G2" s="56">
        <f t="shared" ref="G2" si="0">F2*E2</f>
        <v>509760</v>
      </c>
      <c r="H2" s="89"/>
      <c r="I2" s="89">
        <v>590</v>
      </c>
      <c r="J2" s="45">
        <v>1395</v>
      </c>
      <c r="K2" s="4">
        <f>2950/6</f>
        <v>491.66666666666669</v>
      </c>
    </row>
    <row r="3" spans="1:11" ht="12.75" x14ac:dyDescent="0.15">
      <c r="A3" s="51">
        <v>2</v>
      </c>
      <c r="B3" s="337" t="s">
        <v>7</v>
      </c>
      <c r="C3" s="337"/>
      <c r="D3" s="337"/>
      <c r="E3" s="337"/>
      <c r="F3" s="337"/>
      <c r="G3" s="57">
        <f>SUM(G2:G2)</f>
        <v>509760</v>
      </c>
      <c r="H3" s="90"/>
      <c r="I3" s="46"/>
      <c r="J3" s="47"/>
    </row>
    <row r="4" spans="1:11" ht="12.75" x14ac:dyDescent="0.15">
      <c r="A4" s="51">
        <v>3</v>
      </c>
      <c r="B4" s="337" t="s">
        <v>186</v>
      </c>
      <c r="C4" s="337"/>
      <c r="D4" s="337"/>
      <c r="E4" s="337"/>
      <c r="F4" s="337"/>
      <c r="G4" s="57">
        <f>G3*18%</f>
        <v>91756.800000000003</v>
      </c>
      <c r="H4" s="90"/>
    </row>
    <row r="5" spans="1:11" ht="12.75" x14ac:dyDescent="0.15">
      <c r="A5" s="51">
        <v>4</v>
      </c>
      <c r="B5" s="337" t="s">
        <v>8</v>
      </c>
      <c r="C5" s="337"/>
      <c r="D5" s="337"/>
      <c r="E5" s="337"/>
      <c r="F5" s="337"/>
      <c r="G5" s="57">
        <f>G4+G3</f>
        <v>601516.80000000005</v>
      </c>
      <c r="H5" s="90"/>
    </row>
    <row r="6" spans="1:11" ht="12.75" x14ac:dyDescent="0.15">
      <c r="A6" s="344"/>
      <c r="B6" s="345"/>
      <c r="C6" s="345"/>
      <c r="D6" s="345"/>
      <c r="E6" s="345"/>
      <c r="F6" s="345"/>
      <c r="G6" s="346"/>
      <c r="H6" s="91"/>
    </row>
    <row r="7" spans="1:11" ht="140.25" x14ac:dyDescent="0.15">
      <c r="A7" s="58" t="s">
        <v>9</v>
      </c>
      <c r="B7" s="335" t="s">
        <v>108</v>
      </c>
      <c r="C7" s="335"/>
      <c r="D7" s="335"/>
      <c r="E7" s="335"/>
      <c r="F7" s="335"/>
      <c r="G7" s="336"/>
      <c r="H7" s="88"/>
    </row>
    <row r="8" spans="1:11" ht="12.75" x14ac:dyDescent="0.2">
      <c r="A8" s="59"/>
      <c r="B8" s="59"/>
      <c r="C8" s="59"/>
      <c r="D8" s="59"/>
      <c r="E8" s="59"/>
      <c r="F8" s="59"/>
      <c r="G8" s="59"/>
      <c r="H8" s="92"/>
    </row>
    <row r="9" spans="1:11" ht="12.75" x14ac:dyDescent="0.2">
      <c r="A9" s="59"/>
      <c r="B9" s="59"/>
      <c r="C9" s="59"/>
      <c r="D9" s="59"/>
      <c r="E9" s="59"/>
      <c r="F9" s="59"/>
      <c r="G9" s="59"/>
      <c r="H9" s="92"/>
    </row>
    <row r="10" spans="1:11" ht="12.75" x14ac:dyDescent="0.2">
      <c r="A10" s="59"/>
      <c r="B10" s="59"/>
      <c r="C10" s="59"/>
      <c r="D10" s="59"/>
      <c r="E10" s="59"/>
      <c r="F10" s="59"/>
      <c r="G10" s="59"/>
      <c r="H10" s="92"/>
    </row>
    <row r="11" spans="1:11" ht="12.75" x14ac:dyDescent="0.2">
      <c r="A11" s="59"/>
      <c r="B11" s="59"/>
      <c r="C11" s="59"/>
      <c r="D11" s="59"/>
      <c r="E11" s="59"/>
      <c r="F11" s="59"/>
      <c r="G11" s="59"/>
      <c r="H11" s="92"/>
    </row>
    <row r="12" spans="1:11" ht="12.75" x14ac:dyDescent="0.2">
      <c r="A12" s="59"/>
      <c r="B12" s="59"/>
      <c r="C12" s="59"/>
      <c r="D12" s="59"/>
      <c r="E12" s="59"/>
      <c r="F12" s="59"/>
      <c r="G12" s="59"/>
      <c r="H12" s="92"/>
    </row>
    <row r="13" spans="1:11" ht="12.75" x14ac:dyDescent="0.2">
      <c r="A13" s="59"/>
      <c r="B13" s="59"/>
      <c r="C13" s="59"/>
      <c r="D13" s="59"/>
      <c r="E13" s="59"/>
      <c r="F13" s="59"/>
      <c r="G13" s="59"/>
      <c r="H13" s="92"/>
    </row>
    <row r="14" spans="1:11" s="1" customFormat="1" ht="12.75" x14ac:dyDescent="0.2">
      <c r="A14" s="59"/>
      <c r="B14" s="59"/>
      <c r="C14" s="59"/>
      <c r="D14" s="59"/>
      <c r="E14" s="59"/>
      <c r="F14" s="59"/>
      <c r="G14" s="59"/>
      <c r="H14" s="92"/>
      <c r="J14" s="4"/>
    </row>
  </sheetData>
  <mergeCells count="5">
    <mergeCell ref="B3:F3"/>
    <mergeCell ref="B4:F4"/>
    <mergeCell ref="B5:F5"/>
    <mergeCell ref="A6:G6"/>
    <mergeCell ref="B7:G7"/>
  </mergeCells>
  <printOptions horizontalCentered="1"/>
  <pageMargins left="0.25" right="0.25" top="0.5" bottom="0.5" header="0.3" footer="0.05"/>
  <pageSetup orientation="landscape" horizontalDpi="4294967292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K14"/>
  <sheetViews>
    <sheetView view="pageBreakPreview" zoomScaleSheetLayoutView="100" workbookViewId="0">
      <selection activeCell="H7" sqref="H7"/>
    </sheetView>
  </sheetViews>
  <sheetFormatPr defaultColWidth="9.140625" defaultRowHeight="11.25" x14ac:dyDescent="0.15"/>
  <cols>
    <col min="1" max="1" width="5.85546875" style="4" bestFit="1" customWidth="1"/>
    <col min="2" max="2" width="12.5703125" style="4" customWidth="1"/>
    <col min="3" max="3" width="50.42578125" style="4" customWidth="1"/>
    <col min="4" max="4" width="5" style="4" bestFit="1" customWidth="1"/>
    <col min="5" max="5" width="6.28515625" style="4" bestFit="1" customWidth="1"/>
    <col min="6" max="6" width="11.5703125" style="4" bestFit="1" customWidth="1"/>
    <col min="7" max="7" width="16.5703125" style="4" bestFit="1" customWidth="1"/>
    <col min="8" max="8" width="16.5703125" style="93" customWidth="1"/>
    <col min="9" max="9" width="9.140625" style="1"/>
    <col min="10" max="10" width="13.28515625" style="4" bestFit="1" customWidth="1"/>
    <col min="11" max="16384" width="9.140625" style="4"/>
  </cols>
  <sheetData>
    <row r="1" spans="1:11" ht="25.5" x14ac:dyDescent="0.15">
      <c r="A1" s="48" t="s">
        <v>0</v>
      </c>
      <c r="B1" s="49" t="s">
        <v>5</v>
      </c>
      <c r="C1" s="49" t="s">
        <v>2</v>
      </c>
      <c r="D1" s="49" t="s">
        <v>3</v>
      </c>
      <c r="E1" s="49" t="s">
        <v>13</v>
      </c>
      <c r="F1" s="50" t="s">
        <v>11</v>
      </c>
      <c r="G1" s="50" t="s">
        <v>12</v>
      </c>
      <c r="H1" s="50" t="s">
        <v>120</v>
      </c>
      <c r="I1" s="40" t="s">
        <v>17</v>
      </c>
      <c r="J1" s="42" t="s">
        <v>10</v>
      </c>
      <c r="K1" s="4" t="s">
        <v>14</v>
      </c>
    </row>
    <row r="2" spans="1:11" ht="38.25" x14ac:dyDescent="0.15">
      <c r="A2" s="51">
        <v>1</v>
      </c>
      <c r="B2" s="51">
        <v>3004000002</v>
      </c>
      <c r="C2" s="53" t="s">
        <v>251</v>
      </c>
      <c r="D2" s="54" t="s">
        <v>109</v>
      </c>
      <c r="E2" s="51">
        <v>2</v>
      </c>
      <c r="F2" s="55">
        <f>80*1.35*I2</f>
        <v>37800</v>
      </c>
      <c r="G2" s="56">
        <f t="shared" ref="G2" si="0">F2*E2</f>
        <v>75600</v>
      </c>
      <c r="H2" s="89"/>
      <c r="I2" s="89">
        <v>350</v>
      </c>
      <c r="J2" s="45">
        <v>290</v>
      </c>
    </row>
    <row r="3" spans="1:11" ht="12.75" x14ac:dyDescent="0.15">
      <c r="A3" s="51">
        <v>2</v>
      </c>
      <c r="B3" s="337" t="s">
        <v>7</v>
      </c>
      <c r="C3" s="337"/>
      <c r="D3" s="337"/>
      <c r="E3" s="337"/>
      <c r="F3" s="337"/>
      <c r="G3" s="57">
        <f>SUM(G2:G2)</f>
        <v>75600</v>
      </c>
      <c r="H3" s="90"/>
      <c r="I3" s="46"/>
      <c r="J3" s="47"/>
    </row>
    <row r="4" spans="1:11" ht="12.75" x14ac:dyDescent="0.15">
      <c r="A4" s="51">
        <v>3</v>
      </c>
      <c r="B4" s="337" t="s">
        <v>100</v>
      </c>
      <c r="C4" s="337"/>
      <c r="D4" s="337"/>
      <c r="E4" s="337"/>
      <c r="F4" s="337"/>
      <c r="G4" s="57">
        <f>G3*18%</f>
        <v>13608</v>
      </c>
      <c r="H4" s="90"/>
    </row>
    <row r="5" spans="1:11" ht="12.75" x14ac:dyDescent="0.15">
      <c r="A5" s="51">
        <v>4</v>
      </c>
      <c r="B5" s="337" t="s">
        <v>8</v>
      </c>
      <c r="C5" s="337"/>
      <c r="D5" s="337"/>
      <c r="E5" s="337"/>
      <c r="F5" s="337"/>
      <c r="G5" s="57">
        <f>G4+G3</f>
        <v>89208</v>
      </c>
      <c r="H5" s="90"/>
    </row>
    <row r="6" spans="1:11" ht="12.75" x14ac:dyDescent="0.15">
      <c r="A6" s="344"/>
      <c r="B6" s="345"/>
      <c r="C6" s="345"/>
      <c r="D6" s="345"/>
      <c r="E6" s="345"/>
      <c r="F6" s="345"/>
      <c r="G6" s="346"/>
      <c r="H6" s="91"/>
    </row>
    <row r="7" spans="1:11" ht="140.25" x14ac:dyDescent="0.15">
      <c r="A7" s="58" t="s">
        <v>9</v>
      </c>
      <c r="B7" s="335" t="s">
        <v>108</v>
      </c>
      <c r="C7" s="335"/>
      <c r="D7" s="335"/>
      <c r="E7" s="335"/>
      <c r="F7" s="335"/>
      <c r="G7" s="336"/>
      <c r="H7" s="88"/>
    </row>
    <row r="8" spans="1:11" ht="12.75" x14ac:dyDescent="0.2">
      <c r="A8" s="59"/>
      <c r="B8" s="59"/>
      <c r="C8" s="59"/>
      <c r="D8" s="59"/>
      <c r="E8" s="59"/>
      <c r="F8" s="59"/>
      <c r="G8" s="59"/>
      <c r="H8" s="92"/>
    </row>
    <row r="9" spans="1:11" ht="12.75" x14ac:dyDescent="0.2">
      <c r="A9" s="59"/>
      <c r="B9" s="59"/>
      <c r="C9" s="59"/>
      <c r="D9" s="59"/>
      <c r="E9" s="59"/>
      <c r="F9" s="59"/>
      <c r="G9" s="59"/>
      <c r="H9" s="92"/>
    </row>
    <row r="10" spans="1:11" ht="12.75" x14ac:dyDescent="0.2">
      <c r="A10" s="59"/>
      <c r="B10" s="59"/>
      <c r="C10" s="59"/>
      <c r="D10" s="59"/>
      <c r="E10" s="59"/>
      <c r="F10" s="59"/>
      <c r="G10" s="59"/>
      <c r="H10" s="92"/>
    </row>
    <row r="11" spans="1:11" ht="12.75" x14ac:dyDescent="0.2">
      <c r="A11" s="59"/>
      <c r="B11" s="59"/>
      <c r="C11" s="59"/>
      <c r="D11" s="59"/>
      <c r="E11" s="59"/>
      <c r="F11" s="59"/>
      <c r="G11" s="59"/>
      <c r="H11" s="92"/>
    </row>
    <row r="12" spans="1:11" ht="12.75" x14ac:dyDescent="0.2">
      <c r="A12" s="59"/>
      <c r="B12" s="59"/>
      <c r="C12" s="59"/>
      <c r="D12" s="59"/>
      <c r="E12" s="59"/>
      <c r="F12" s="59"/>
      <c r="G12" s="59"/>
      <c r="H12" s="92"/>
    </row>
    <row r="13" spans="1:11" ht="12.75" x14ac:dyDescent="0.2">
      <c r="A13" s="59"/>
      <c r="B13" s="59"/>
      <c r="C13" s="59"/>
      <c r="D13" s="59"/>
      <c r="E13" s="59"/>
      <c r="F13" s="59"/>
      <c r="G13" s="59"/>
      <c r="H13" s="92"/>
    </row>
    <row r="14" spans="1:11" s="1" customFormat="1" ht="12.75" x14ac:dyDescent="0.2">
      <c r="A14" s="59"/>
      <c r="B14" s="59"/>
      <c r="C14" s="59"/>
      <c r="D14" s="59"/>
      <c r="E14" s="59"/>
      <c r="F14" s="59"/>
      <c r="G14" s="59"/>
      <c r="H14" s="92"/>
      <c r="J14" s="4"/>
    </row>
  </sheetData>
  <mergeCells count="5">
    <mergeCell ref="B3:F3"/>
    <mergeCell ref="B4:F4"/>
    <mergeCell ref="B5:F5"/>
    <mergeCell ref="A6:G6"/>
    <mergeCell ref="B7:G7"/>
  </mergeCells>
  <printOptions horizontalCentered="1"/>
  <pageMargins left="0.25" right="0.25" top="0.5" bottom="0.5" header="0.3" footer="0.05"/>
  <pageSetup orientation="landscape" horizontalDpi="4294967292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14"/>
  <sheetViews>
    <sheetView view="pageBreakPreview" topLeftCell="A3" zoomScaleSheetLayoutView="100" workbookViewId="0">
      <selection sqref="A1:G7"/>
    </sheetView>
  </sheetViews>
  <sheetFormatPr defaultColWidth="9.140625" defaultRowHeight="11.25" x14ac:dyDescent="0.15"/>
  <cols>
    <col min="1" max="1" width="5.85546875" style="4" bestFit="1" customWidth="1"/>
    <col min="2" max="2" width="12.5703125" style="4" customWidth="1"/>
    <col min="3" max="3" width="50.42578125" style="4" customWidth="1"/>
    <col min="4" max="4" width="5" style="4" bestFit="1" customWidth="1"/>
    <col min="5" max="5" width="6.28515625" style="4" bestFit="1" customWidth="1"/>
    <col min="6" max="6" width="11.5703125" style="4" bestFit="1" customWidth="1"/>
    <col min="7" max="7" width="16.5703125" style="4" bestFit="1" customWidth="1"/>
    <col min="8" max="8" width="16.5703125" style="93" customWidth="1"/>
    <col min="9" max="9" width="9.140625" style="1"/>
    <col min="10" max="10" width="13.28515625" style="4" bestFit="1" customWidth="1"/>
    <col min="11" max="16384" width="9.140625" style="4"/>
  </cols>
  <sheetData>
    <row r="1" spans="1:11" ht="25.5" x14ac:dyDescent="0.15">
      <c r="A1" s="48" t="s">
        <v>0</v>
      </c>
      <c r="B1" s="49" t="s">
        <v>5</v>
      </c>
      <c r="C1" s="49" t="s">
        <v>2</v>
      </c>
      <c r="D1" s="49" t="s">
        <v>3</v>
      </c>
      <c r="E1" s="49" t="s">
        <v>13</v>
      </c>
      <c r="F1" s="50" t="s">
        <v>11</v>
      </c>
      <c r="G1" s="50" t="s">
        <v>12</v>
      </c>
      <c r="H1" s="50" t="s">
        <v>120</v>
      </c>
      <c r="I1" s="40" t="s">
        <v>17</v>
      </c>
      <c r="J1" s="42" t="s">
        <v>10</v>
      </c>
      <c r="K1" s="4" t="s">
        <v>258</v>
      </c>
    </row>
    <row r="2" spans="1:11" ht="165.75" x14ac:dyDescent="0.15">
      <c r="A2" s="51">
        <v>1</v>
      </c>
      <c r="B2" s="51">
        <v>7311000028</v>
      </c>
      <c r="C2" s="53" t="s">
        <v>259</v>
      </c>
      <c r="D2" s="54" t="s">
        <v>109</v>
      </c>
      <c r="E2" s="51">
        <v>70</v>
      </c>
      <c r="F2" s="55">
        <f>80*1.3*I2</f>
        <v>55120</v>
      </c>
      <c r="G2" s="56">
        <f t="shared" ref="G2" si="0">F2*E2</f>
        <v>3858400</v>
      </c>
      <c r="H2" s="89"/>
      <c r="I2" s="89">
        <v>530</v>
      </c>
      <c r="J2" s="45">
        <v>530</v>
      </c>
      <c r="K2" s="4">
        <f>56000</f>
        <v>56000</v>
      </c>
    </row>
    <row r="3" spans="1:11" ht="12.75" x14ac:dyDescent="0.15">
      <c r="A3" s="51">
        <v>2</v>
      </c>
      <c r="B3" s="337" t="s">
        <v>7</v>
      </c>
      <c r="C3" s="337"/>
      <c r="D3" s="337"/>
      <c r="E3" s="337"/>
      <c r="F3" s="337"/>
      <c r="G3" s="57">
        <f>SUM(G2:G2)</f>
        <v>3858400</v>
      </c>
      <c r="H3" s="90"/>
      <c r="I3" s="46"/>
      <c r="J3" s="47"/>
    </row>
    <row r="4" spans="1:11" ht="12.75" x14ac:dyDescent="0.15">
      <c r="A4" s="51">
        <v>3</v>
      </c>
      <c r="B4" s="337" t="s">
        <v>100</v>
      </c>
      <c r="C4" s="337"/>
      <c r="D4" s="337"/>
      <c r="E4" s="337"/>
      <c r="F4" s="337"/>
      <c r="G4" s="57">
        <f>G3*18%</f>
        <v>694512</v>
      </c>
      <c r="H4" s="90"/>
    </row>
    <row r="5" spans="1:11" ht="12.75" x14ac:dyDescent="0.15">
      <c r="A5" s="51">
        <v>4</v>
      </c>
      <c r="B5" s="337" t="s">
        <v>8</v>
      </c>
      <c r="C5" s="337"/>
      <c r="D5" s="337"/>
      <c r="E5" s="337"/>
      <c r="F5" s="337"/>
      <c r="G5" s="57">
        <f>G4+G3</f>
        <v>4552912</v>
      </c>
      <c r="H5" s="90"/>
    </row>
    <row r="6" spans="1:11" ht="12.75" x14ac:dyDescent="0.15">
      <c r="A6" s="344"/>
      <c r="B6" s="345"/>
      <c r="C6" s="345"/>
      <c r="D6" s="345"/>
      <c r="E6" s="345"/>
      <c r="F6" s="345"/>
      <c r="G6" s="346"/>
      <c r="H6" s="91"/>
    </row>
    <row r="7" spans="1:11" ht="140.25" x14ac:dyDescent="0.15">
      <c r="A7" s="58" t="s">
        <v>9</v>
      </c>
      <c r="B7" s="335" t="s">
        <v>108</v>
      </c>
      <c r="C7" s="335"/>
      <c r="D7" s="335"/>
      <c r="E7" s="335"/>
      <c r="F7" s="335"/>
      <c r="G7" s="336"/>
      <c r="H7" s="88"/>
    </row>
    <row r="8" spans="1:11" ht="12.75" x14ac:dyDescent="0.2">
      <c r="A8" s="59"/>
      <c r="B8" s="59"/>
      <c r="C8" s="59"/>
      <c r="D8" s="59"/>
      <c r="E8" s="59"/>
      <c r="F8" s="59"/>
      <c r="G8" s="59"/>
      <c r="H8" s="92"/>
    </row>
    <row r="9" spans="1:11" ht="12.75" x14ac:dyDescent="0.2">
      <c r="A9" s="59"/>
      <c r="B9" s="59"/>
      <c r="C9" s="59"/>
      <c r="D9" s="59"/>
      <c r="E9" s="59"/>
      <c r="F9" s="59"/>
      <c r="G9" s="59"/>
      <c r="H9" s="92"/>
    </row>
    <row r="10" spans="1:11" ht="12.75" x14ac:dyDescent="0.2">
      <c r="A10" s="59"/>
      <c r="B10" s="59"/>
      <c r="C10" s="59"/>
      <c r="D10" s="59"/>
      <c r="E10" s="59"/>
      <c r="F10" s="59"/>
      <c r="G10" s="59"/>
      <c r="H10" s="92"/>
    </row>
    <row r="11" spans="1:11" ht="12.75" x14ac:dyDescent="0.2">
      <c r="A11" s="59"/>
      <c r="B11" s="59"/>
      <c r="C11" s="59"/>
      <c r="D11" s="59"/>
      <c r="E11" s="59"/>
      <c r="F11" s="59"/>
      <c r="G11" s="59"/>
      <c r="H11" s="92"/>
    </row>
    <row r="12" spans="1:11" ht="12.75" x14ac:dyDescent="0.2">
      <c r="A12" s="59"/>
      <c r="B12" s="59"/>
      <c r="C12" s="59"/>
      <c r="D12" s="59"/>
      <c r="E12" s="59"/>
      <c r="F12" s="59"/>
      <c r="G12" s="59"/>
      <c r="H12" s="92"/>
    </row>
    <row r="13" spans="1:11" ht="12.75" x14ac:dyDescent="0.2">
      <c r="A13" s="59"/>
      <c r="B13" s="59"/>
      <c r="C13" s="59"/>
      <c r="D13" s="59"/>
      <c r="E13" s="59"/>
      <c r="F13" s="59"/>
      <c r="G13" s="59"/>
      <c r="H13" s="92"/>
    </row>
    <row r="14" spans="1:11" s="1" customFormat="1" ht="12.75" x14ac:dyDescent="0.2">
      <c r="A14" s="59"/>
      <c r="B14" s="59"/>
      <c r="C14" s="59"/>
      <c r="D14" s="59"/>
      <c r="E14" s="59"/>
      <c r="F14" s="59"/>
      <c r="G14" s="59"/>
      <c r="H14" s="92"/>
      <c r="J14" s="4"/>
    </row>
  </sheetData>
  <mergeCells count="5">
    <mergeCell ref="B3:F3"/>
    <mergeCell ref="B4:F4"/>
    <mergeCell ref="B5:F5"/>
    <mergeCell ref="A6:G6"/>
    <mergeCell ref="B7:G7"/>
  </mergeCells>
  <printOptions horizontalCentered="1"/>
  <pageMargins left="0.25" right="0.25" top="0.5" bottom="0.5" header="0.3" footer="0.05"/>
  <pageSetup orientation="landscape" horizontalDpi="4294967292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K15"/>
  <sheetViews>
    <sheetView view="pageBreakPreview" zoomScaleSheetLayoutView="100" workbookViewId="0">
      <selection activeCell="A8" sqref="A1:G8"/>
    </sheetView>
  </sheetViews>
  <sheetFormatPr defaultColWidth="9.140625" defaultRowHeight="11.25" x14ac:dyDescent="0.15"/>
  <cols>
    <col min="1" max="1" width="5.85546875" style="4" bestFit="1" customWidth="1"/>
    <col min="2" max="2" width="12.5703125" style="4" customWidth="1"/>
    <col min="3" max="3" width="50.42578125" style="4" customWidth="1"/>
    <col min="4" max="4" width="5" style="4" bestFit="1" customWidth="1"/>
    <col min="5" max="5" width="6.28515625" style="4" bestFit="1" customWidth="1"/>
    <col min="6" max="6" width="11.5703125" style="4" bestFit="1" customWidth="1"/>
    <col min="7" max="7" width="16.5703125" style="4" bestFit="1" customWidth="1"/>
    <col min="8" max="8" width="16.5703125" style="93" customWidth="1"/>
    <col min="9" max="9" width="9.140625" style="1"/>
    <col min="10" max="10" width="13.28515625" style="4" bestFit="1" customWidth="1"/>
    <col min="11" max="16384" width="9.140625" style="4"/>
  </cols>
  <sheetData>
    <row r="1" spans="1:11" ht="25.5" x14ac:dyDescent="0.15">
      <c r="A1" s="48" t="s">
        <v>0</v>
      </c>
      <c r="B1" s="49" t="s">
        <v>5</v>
      </c>
      <c r="C1" s="49" t="s">
        <v>2</v>
      </c>
      <c r="D1" s="49" t="s">
        <v>3</v>
      </c>
      <c r="E1" s="49" t="s">
        <v>13</v>
      </c>
      <c r="F1" s="50" t="s">
        <v>11</v>
      </c>
      <c r="G1" s="50" t="s">
        <v>12</v>
      </c>
      <c r="H1" s="50" t="s">
        <v>120</v>
      </c>
      <c r="I1" s="40" t="s">
        <v>17</v>
      </c>
      <c r="J1" s="42" t="s">
        <v>10</v>
      </c>
      <c r="K1" s="4" t="s">
        <v>258</v>
      </c>
    </row>
    <row r="2" spans="1:11" ht="63.75" x14ac:dyDescent="0.15">
      <c r="A2" s="51">
        <v>1</v>
      </c>
      <c r="B2" s="51">
        <v>7309000025</v>
      </c>
      <c r="C2" s="53" t="s">
        <v>260</v>
      </c>
      <c r="D2" s="54" t="s">
        <v>109</v>
      </c>
      <c r="E2" s="51">
        <v>10</v>
      </c>
      <c r="F2" s="55">
        <f>80*1.3*I2</f>
        <v>150800</v>
      </c>
      <c r="G2" s="56">
        <f t="shared" ref="G2" si="0">F2*E2</f>
        <v>1508000</v>
      </c>
      <c r="H2" s="89"/>
      <c r="I2" s="89">
        <v>1450</v>
      </c>
      <c r="J2" s="45">
        <v>1350</v>
      </c>
      <c r="K2" s="4">
        <f>56000</f>
        <v>56000</v>
      </c>
    </row>
    <row r="3" spans="1:11" ht="63.75" x14ac:dyDescent="0.15">
      <c r="A3" s="51">
        <v>2</v>
      </c>
      <c r="B3" s="51">
        <v>7309000027</v>
      </c>
      <c r="C3" s="53" t="s">
        <v>261</v>
      </c>
      <c r="D3" s="54" t="s">
        <v>109</v>
      </c>
      <c r="E3" s="51">
        <v>3</v>
      </c>
      <c r="F3" s="55">
        <f>80*1.3*I3</f>
        <v>265200</v>
      </c>
      <c r="G3" s="56">
        <f t="shared" ref="G3" si="1">F3*E3</f>
        <v>795600</v>
      </c>
      <c r="H3" s="89"/>
      <c r="I3" s="89">
        <v>2550</v>
      </c>
      <c r="J3" s="45">
        <v>2450</v>
      </c>
      <c r="K3" s="4">
        <f>56000</f>
        <v>56000</v>
      </c>
    </row>
    <row r="4" spans="1:11" ht="12.75" x14ac:dyDescent="0.15">
      <c r="A4" s="51">
        <v>3</v>
      </c>
      <c r="B4" s="337" t="s">
        <v>7</v>
      </c>
      <c r="C4" s="337"/>
      <c r="D4" s="337"/>
      <c r="E4" s="337"/>
      <c r="F4" s="337"/>
      <c r="G4" s="57">
        <f>SUM(G2:G3)</f>
        <v>2303600</v>
      </c>
      <c r="H4" s="90"/>
      <c r="I4" s="46"/>
      <c r="J4" s="47"/>
    </row>
    <row r="5" spans="1:11" ht="12.75" x14ac:dyDescent="0.15">
      <c r="A5" s="51">
        <v>4</v>
      </c>
      <c r="B5" s="337" t="s">
        <v>100</v>
      </c>
      <c r="C5" s="337"/>
      <c r="D5" s="337"/>
      <c r="E5" s="337"/>
      <c r="F5" s="337"/>
      <c r="G5" s="57">
        <f>G4*18%</f>
        <v>414648</v>
      </c>
      <c r="H5" s="90"/>
    </row>
    <row r="6" spans="1:11" ht="12.75" x14ac:dyDescent="0.15">
      <c r="A6" s="51">
        <v>5</v>
      </c>
      <c r="B6" s="337" t="s">
        <v>8</v>
      </c>
      <c r="C6" s="337"/>
      <c r="D6" s="337"/>
      <c r="E6" s="337"/>
      <c r="F6" s="337"/>
      <c r="G6" s="57">
        <f>G5+G4</f>
        <v>2718248</v>
      </c>
      <c r="H6" s="90"/>
    </row>
    <row r="7" spans="1:11" ht="12.75" x14ac:dyDescent="0.15">
      <c r="A7" s="344"/>
      <c r="B7" s="345"/>
      <c r="C7" s="345"/>
      <c r="D7" s="345"/>
      <c r="E7" s="345"/>
      <c r="F7" s="345"/>
      <c r="G7" s="346"/>
      <c r="H7" s="91"/>
    </row>
    <row r="8" spans="1:11" ht="140.25" x14ac:dyDescent="0.15">
      <c r="A8" s="58" t="s">
        <v>9</v>
      </c>
      <c r="B8" s="335" t="s">
        <v>262</v>
      </c>
      <c r="C8" s="335"/>
      <c r="D8" s="335"/>
      <c r="E8" s="335"/>
      <c r="F8" s="335"/>
      <c r="G8" s="336"/>
      <c r="H8" s="88"/>
    </row>
    <row r="9" spans="1:11" ht="12.75" x14ac:dyDescent="0.2">
      <c r="A9" s="59"/>
      <c r="B9" s="59"/>
      <c r="C9" s="59"/>
      <c r="D9" s="59"/>
      <c r="E9" s="59"/>
      <c r="F9" s="59"/>
      <c r="G9" s="59"/>
      <c r="H9" s="92"/>
    </row>
    <row r="10" spans="1:11" ht="12.75" x14ac:dyDescent="0.2">
      <c r="A10" s="59"/>
      <c r="B10" s="59"/>
      <c r="C10" s="59"/>
      <c r="D10" s="59"/>
      <c r="E10" s="59"/>
      <c r="F10" s="59"/>
      <c r="G10" s="59"/>
      <c r="H10" s="92"/>
    </row>
    <row r="11" spans="1:11" ht="12.75" x14ac:dyDescent="0.2">
      <c r="A11" s="59"/>
      <c r="B11" s="59"/>
      <c r="C11" s="59"/>
      <c r="D11" s="59"/>
      <c r="E11" s="59"/>
      <c r="F11" s="59"/>
      <c r="G11" s="59"/>
      <c r="H11" s="92"/>
    </row>
    <row r="12" spans="1:11" ht="12.75" x14ac:dyDescent="0.2">
      <c r="A12" s="59"/>
      <c r="B12" s="59"/>
      <c r="C12" s="59"/>
      <c r="D12" s="59"/>
      <c r="E12" s="59"/>
      <c r="F12" s="59"/>
      <c r="G12" s="59"/>
      <c r="H12" s="92"/>
    </row>
    <row r="13" spans="1:11" ht="12.75" x14ac:dyDescent="0.2">
      <c r="A13" s="59"/>
      <c r="B13" s="59"/>
      <c r="C13" s="59"/>
      <c r="D13" s="59"/>
      <c r="E13" s="59"/>
      <c r="F13" s="59"/>
      <c r="G13" s="59"/>
      <c r="H13" s="92"/>
    </row>
    <row r="14" spans="1:11" ht="12.75" x14ac:dyDescent="0.2">
      <c r="A14" s="59"/>
      <c r="B14" s="59"/>
      <c r="C14" s="59"/>
      <c r="D14" s="59"/>
      <c r="E14" s="59"/>
      <c r="F14" s="59"/>
      <c r="G14" s="59"/>
      <c r="H14" s="92"/>
    </row>
    <row r="15" spans="1:11" s="1" customFormat="1" ht="12.75" x14ac:dyDescent="0.2">
      <c r="A15" s="59"/>
      <c r="B15" s="59"/>
      <c r="C15" s="59"/>
      <c r="D15" s="59"/>
      <c r="E15" s="59"/>
      <c r="F15" s="59"/>
      <c r="G15" s="59"/>
      <c r="H15" s="92"/>
      <c r="J15" s="4"/>
    </row>
  </sheetData>
  <mergeCells count="5">
    <mergeCell ref="B4:F4"/>
    <mergeCell ref="B5:F5"/>
    <mergeCell ref="B6:F6"/>
    <mergeCell ref="A7:G7"/>
    <mergeCell ref="B8:G8"/>
  </mergeCells>
  <printOptions horizontalCentered="1"/>
  <pageMargins left="0.25" right="0.25" top="0.5" bottom="0.5" header="0.3" footer="0.05"/>
  <pageSetup orientation="landscape" horizontalDpi="4294967292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K15"/>
  <sheetViews>
    <sheetView view="pageBreakPreview" zoomScaleSheetLayoutView="100" workbookViewId="0">
      <selection activeCell="C3" sqref="C3"/>
    </sheetView>
  </sheetViews>
  <sheetFormatPr defaultColWidth="9.140625" defaultRowHeight="11.25" x14ac:dyDescent="0.15"/>
  <cols>
    <col min="1" max="1" width="5.85546875" style="4" bestFit="1" customWidth="1"/>
    <col min="2" max="2" width="12.5703125" style="4" customWidth="1"/>
    <col min="3" max="3" width="50.42578125" style="4" customWidth="1"/>
    <col min="4" max="4" width="5" style="4" bestFit="1" customWidth="1"/>
    <col min="5" max="5" width="6.28515625" style="4" bestFit="1" customWidth="1"/>
    <col min="6" max="6" width="11.5703125" style="4" bestFit="1" customWidth="1"/>
    <col min="7" max="7" width="16.5703125" style="4" bestFit="1" customWidth="1"/>
    <col min="8" max="8" width="16.5703125" style="93" customWidth="1"/>
    <col min="9" max="9" width="9.140625" style="1"/>
    <col min="10" max="10" width="13.28515625" style="4" bestFit="1" customWidth="1"/>
    <col min="11" max="16384" width="9.140625" style="4"/>
  </cols>
  <sheetData>
    <row r="1" spans="1:11" ht="25.5" x14ac:dyDescent="0.15">
      <c r="A1" s="95" t="s">
        <v>0</v>
      </c>
      <c r="B1" s="96" t="s">
        <v>5</v>
      </c>
      <c r="C1" s="96" t="s">
        <v>2</v>
      </c>
      <c r="D1" s="96" t="s">
        <v>3</v>
      </c>
      <c r="E1" s="96" t="s">
        <v>13</v>
      </c>
      <c r="F1" s="97" t="s">
        <v>11</v>
      </c>
      <c r="G1" s="97" t="s">
        <v>12</v>
      </c>
      <c r="H1" s="50" t="s">
        <v>120</v>
      </c>
      <c r="I1" s="40" t="s">
        <v>17</v>
      </c>
      <c r="J1" s="42" t="s">
        <v>110</v>
      </c>
      <c r="K1" s="4" t="s">
        <v>258</v>
      </c>
    </row>
    <row r="2" spans="1:11" s="59" customFormat="1" ht="25.5" x14ac:dyDescent="0.2">
      <c r="A2" s="51">
        <v>1</v>
      </c>
      <c r="B2" s="51">
        <v>7201000006</v>
      </c>
      <c r="C2" s="63" t="s">
        <v>263</v>
      </c>
      <c r="D2" s="54" t="s">
        <v>109</v>
      </c>
      <c r="E2" s="51">
        <v>10</v>
      </c>
      <c r="F2" s="55">
        <f>80*1.33*I2</f>
        <v>244720</v>
      </c>
      <c r="G2" s="56">
        <f t="shared" ref="G2:G3" si="0">F2*E2</f>
        <v>2447200</v>
      </c>
      <c r="H2" s="89"/>
      <c r="I2" s="89">
        <v>2300</v>
      </c>
      <c r="J2" s="94">
        <v>2200</v>
      </c>
    </row>
    <row r="3" spans="1:11" s="59" customFormat="1" ht="25.5" x14ac:dyDescent="0.2">
      <c r="A3" s="51">
        <v>2</v>
      </c>
      <c r="B3" s="51">
        <v>7201000017</v>
      </c>
      <c r="C3" s="63" t="s">
        <v>264</v>
      </c>
      <c r="D3" s="54" t="s">
        <v>109</v>
      </c>
      <c r="E3" s="51">
        <v>10</v>
      </c>
      <c r="F3" s="55">
        <f>80*1.33*I3</f>
        <v>3192</v>
      </c>
      <c r="G3" s="56">
        <f t="shared" si="0"/>
        <v>31920</v>
      </c>
      <c r="H3" s="89"/>
      <c r="I3" s="89">
        <v>30</v>
      </c>
      <c r="J3" s="94">
        <v>26.5</v>
      </c>
    </row>
    <row r="4" spans="1:11" ht="12.75" x14ac:dyDescent="0.15">
      <c r="A4" s="98">
        <v>3</v>
      </c>
      <c r="B4" s="337" t="s">
        <v>7</v>
      </c>
      <c r="C4" s="337"/>
      <c r="D4" s="337"/>
      <c r="E4" s="337"/>
      <c r="F4" s="337"/>
      <c r="G4" s="57">
        <f>SUM(G2:G3)</f>
        <v>2479120</v>
      </c>
      <c r="H4" s="90"/>
      <c r="I4" s="46"/>
      <c r="J4" s="47"/>
    </row>
    <row r="5" spans="1:11" ht="12.75" x14ac:dyDescent="0.15">
      <c r="A5" s="51">
        <v>4</v>
      </c>
      <c r="B5" s="337" t="s">
        <v>100</v>
      </c>
      <c r="C5" s="337"/>
      <c r="D5" s="337"/>
      <c r="E5" s="337"/>
      <c r="F5" s="337"/>
      <c r="G5" s="57">
        <f>G4*18%</f>
        <v>446241.6</v>
      </c>
      <c r="H5" s="90"/>
    </row>
    <row r="6" spans="1:11" ht="12.75" x14ac:dyDescent="0.15">
      <c r="A6" s="51">
        <v>5</v>
      </c>
      <c r="B6" s="337" t="s">
        <v>8</v>
      </c>
      <c r="C6" s="337"/>
      <c r="D6" s="337"/>
      <c r="E6" s="337"/>
      <c r="F6" s="337"/>
      <c r="G6" s="57">
        <f>G5+G4</f>
        <v>2925361.6</v>
      </c>
      <c r="H6" s="90"/>
    </row>
    <row r="7" spans="1:11" ht="12.75" x14ac:dyDescent="0.15">
      <c r="A7" s="344"/>
      <c r="B7" s="345"/>
      <c r="C7" s="345"/>
      <c r="D7" s="345"/>
      <c r="E7" s="345"/>
      <c r="F7" s="345"/>
      <c r="G7" s="346"/>
      <c r="H7" s="91"/>
    </row>
    <row r="8" spans="1:11" ht="140.25" x14ac:dyDescent="0.15">
      <c r="A8" s="58" t="s">
        <v>9</v>
      </c>
      <c r="B8" s="335" t="s">
        <v>265</v>
      </c>
      <c r="C8" s="335"/>
      <c r="D8" s="335"/>
      <c r="E8" s="335"/>
      <c r="F8" s="335"/>
      <c r="G8" s="336"/>
      <c r="H8" s="88"/>
    </row>
    <row r="9" spans="1:11" ht="12.75" x14ac:dyDescent="0.2">
      <c r="A9" s="59"/>
      <c r="B9" s="59"/>
      <c r="C9" s="59"/>
      <c r="D9" s="59"/>
      <c r="E9" s="59"/>
      <c r="F9" s="59"/>
      <c r="G9" s="59"/>
      <c r="H9" s="92"/>
    </row>
    <row r="10" spans="1:11" ht="12.75" x14ac:dyDescent="0.2">
      <c r="A10" s="59"/>
      <c r="B10" s="59"/>
      <c r="C10" s="59"/>
      <c r="D10" s="59"/>
      <c r="E10" s="59"/>
      <c r="F10" s="59"/>
      <c r="G10" s="59"/>
      <c r="H10" s="92"/>
    </row>
    <row r="11" spans="1:11" ht="12.75" x14ac:dyDescent="0.2">
      <c r="A11" s="59"/>
      <c r="B11" s="59"/>
      <c r="C11" s="59"/>
      <c r="D11" s="59"/>
      <c r="E11" s="59"/>
      <c r="F11" s="59"/>
      <c r="G11" s="59"/>
      <c r="H11" s="92"/>
    </row>
    <row r="12" spans="1:11" ht="12.75" x14ac:dyDescent="0.2">
      <c r="A12" s="59"/>
      <c r="B12" s="59"/>
      <c r="C12" s="59"/>
      <c r="D12" s="59"/>
      <c r="E12" s="59"/>
      <c r="F12" s="59"/>
      <c r="G12" s="59"/>
      <c r="H12" s="92"/>
    </row>
    <row r="13" spans="1:11" ht="12.75" x14ac:dyDescent="0.2">
      <c r="A13" s="59"/>
      <c r="B13" s="59"/>
      <c r="C13" s="59"/>
      <c r="D13" s="59"/>
      <c r="E13" s="59"/>
      <c r="F13" s="59"/>
      <c r="G13" s="59"/>
      <c r="H13" s="92"/>
    </row>
    <row r="14" spans="1:11" ht="12.75" x14ac:dyDescent="0.2">
      <c r="A14" s="59"/>
      <c r="B14" s="59"/>
      <c r="C14" s="59"/>
      <c r="D14" s="59"/>
      <c r="E14" s="59"/>
      <c r="F14" s="59"/>
      <c r="G14" s="59"/>
      <c r="H14" s="92"/>
    </row>
    <row r="15" spans="1:11" s="1" customFormat="1" ht="12.75" x14ac:dyDescent="0.2">
      <c r="A15" s="59"/>
      <c r="B15" s="59"/>
      <c r="C15" s="59"/>
      <c r="D15" s="59"/>
      <c r="E15" s="59"/>
      <c r="F15" s="59"/>
      <c r="G15" s="59"/>
      <c r="H15" s="92"/>
      <c r="J15" s="4"/>
    </row>
  </sheetData>
  <mergeCells count="5">
    <mergeCell ref="B4:F4"/>
    <mergeCell ref="B5:F5"/>
    <mergeCell ref="B6:F6"/>
    <mergeCell ref="A7:G7"/>
    <mergeCell ref="B8:G8"/>
  </mergeCells>
  <printOptions horizontalCentered="1"/>
  <pageMargins left="0.25" right="0.25" top="0.5" bottom="0.5" header="0.3" footer="0.05"/>
  <pageSetup orientation="landscape" horizontalDpi="4294967292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K14"/>
  <sheetViews>
    <sheetView view="pageBreakPreview" zoomScaleSheetLayoutView="100" workbookViewId="0">
      <selection activeCell="C2" sqref="C2"/>
    </sheetView>
  </sheetViews>
  <sheetFormatPr defaultColWidth="9.140625" defaultRowHeight="11.25" x14ac:dyDescent="0.15"/>
  <cols>
    <col min="1" max="1" width="5.85546875" style="4" bestFit="1" customWidth="1"/>
    <col min="2" max="2" width="12.5703125" style="4" customWidth="1"/>
    <col min="3" max="3" width="50.42578125" style="4" customWidth="1"/>
    <col min="4" max="4" width="5" style="4" bestFit="1" customWidth="1"/>
    <col min="5" max="5" width="6.28515625" style="4" bestFit="1" customWidth="1"/>
    <col min="6" max="6" width="11.5703125" style="4" bestFit="1" customWidth="1"/>
    <col min="7" max="7" width="16.5703125" style="4" bestFit="1" customWidth="1"/>
    <col min="8" max="8" width="16.5703125" style="93" customWidth="1"/>
    <col min="9" max="9" width="9.140625" style="1"/>
    <col min="10" max="10" width="13.28515625" style="4" bestFit="1" customWidth="1"/>
    <col min="11" max="16384" width="9.140625" style="4"/>
  </cols>
  <sheetData>
    <row r="1" spans="1:11" ht="25.5" x14ac:dyDescent="0.15">
      <c r="A1" s="95" t="s">
        <v>0</v>
      </c>
      <c r="B1" s="96" t="s">
        <v>5</v>
      </c>
      <c r="C1" s="96" t="s">
        <v>2</v>
      </c>
      <c r="D1" s="96" t="s">
        <v>3</v>
      </c>
      <c r="E1" s="96" t="s">
        <v>13</v>
      </c>
      <c r="F1" s="97" t="s">
        <v>11</v>
      </c>
      <c r="G1" s="97" t="s">
        <v>12</v>
      </c>
      <c r="H1" s="50" t="s">
        <v>120</v>
      </c>
      <c r="I1" s="40" t="s">
        <v>17</v>
      </c>
      <c r="J1" s="42" t="s">
        <v>10</v>
      </c>
      <c r="K1" s="4" t="s">
        <v>258</v>
      </c>
    </row>
    <row r="2" spans="1:11" s="59" customFormat="1" ht="76.5" x14ac:dyDescent="0.2">
      <c r="A2" s="51">
        <v>1</v>
      </c>
      <c r="B2" s="51" t="s">
        <v>266</v>
      </c>
      <c r="C2" s="63" t="s">
        <v>267</v>
      </c>
      <c r="D2" s="54" t="s">
        <v>109</v>
      </c>
      <c r="E2" s="51">
        <v>100</v>
      </c>
      <c r="F2" s="55">
        <f>80*1.33*I2</f>
        <v>3724</v>
      </c>
      <c r="G2" s="56">
        <f t="shared" ref="G2" si="0">F2*E2</f>
        <v>372400</v>
      </c>
      <c r="H2" s="89"/>
      <c r="I2" s="89">
        <v>35</v>
      </c>
      <c r="J2" s="94">
        <v>33</v>
      </c>
    </row>
    <row r="3" spans="1:11" ht="12.75" x14ac:dyDescent="0.15">
      <c r="A3" s="98">
        <v>2</v>
      </c>
      <c r="B3" s="337" t="s">
        <v>7</v>
      </c>
      <c r="C3" s="337"/>
      <c r="D3" s="337"/>
      <c r="E3" s="337"/>
      <c r="F3" s="337"/>
      <c r="G3" s="57">
        <f>SUM(G2:G2)</f>
        <v>372400</v>
      </c>
      <c r="H3" s="90"/>
      <c r="I3" s="46"/>
      <c r="J3" s="47"/>
    </row>
    <row r="4" spans="1:11" ht="12.75" x14ac:dyDescent="0.15">
      <c r="A4" s="51">
        <v>3</v>
      </c>
      <c r="B4" s="337" t="s">
        <v>100</v>
      </c>
      <c r="C4" s="337"/>
      <c r="D4" s="337"/>
      <c r="E4" s="337"/>
      <c r="F4" s="337"/>
      <c r="G4" s="57">
        <f>G3*18%</f>
        <v>67032</v>
      </c>
      <c r="H4" s="90"/>
    </row>
    <row r="5" spans="1:11" ht="12.75" x14ac:dyDescent="0.15">
      <c r="A5" s="51">
        <v>4</v>
      </c>
      <c r="B5" s="337" t="s">
        <v>8</v>
      </c>
      <c r="C5" s="337"/>
      <c r="D5" s="337"/>
      <c r="E5" s="337"/>
      <c r="F5" s="337"/>
      <c r="G5" s="57">
        <f>G4+G3</f>
        <v>439432</v>
      </c>
      <c r="H5" s="90"/>
    </row>
    <row r="6" spans="1:11" ht="12.75" x14ac:dyDescent="0.15">
      <c r="A6" s="344"/>
      <c r="B6" s="345"/>
      <c r="C6" s="345"/>
      <c r="D6" s="345"/>
      <c r="E6" s="345"/>
      <c r="F6" s="345"/>
      <c r="G6" s="346"/>
      <c r="H6" s="91"/>
    </row>
    <row r="7" spans="1:11" ht="140.25" x14ac:dyDescent="0.15">
      <c r="A7" s="58" t="s">
        <v>9</v>
      </c>
      <c r="B7" s="335" t="s">
        <v>265</v>
      </c>
      <c r="C7" s="335"/>
      <c r="D7" s="335"/>
      <c r="E7" s="335"/>
      <c r="F7" s="335"/>
      <c r="G7" s="336"/>
      <c r="H7" s="88"/>
    </row>
    <row r="8" spans="1:11" ht="12.75" x14ac:dyDescent="0.2">
      <c r="A8" s="59"/>
      <c r="B8" s="59"/>
      <c r="C8" s="59"/>
      <c r="D8" s="59"/>
      <c r="E8" s="59"/>
      <c r="F8" s="59"/>
      <c r="G8" s="59"/>
      <c r="H8" s="92"/>
    </row>
    <row r="9" spans="1:11" ht="12.75" x14ac:dyDescent="0.2">
      <c r="A9" s="59"/>
      <c r="B9" s="59"/>
      <c r="C9" s="59"/>
      <c r="D9" s="59"/>
      <c r="E9" s="59"/>
      <c r="F9" s="59"/>
      <c r="G9" s="59"/>
      <c r="H9" s="92"/>
    </row>
    <row r="10" spans="1:11" ht="12.75" x14ac:dyDescent="0.2">
      <c r="A10" s="59"/>
      <c r="B10" s="59"/>
      <c r="C10" s="59"/>
      <c r="D10" s="59"/>
      <c r="E10" s="59"/>
      <c r="F10" s="59"/>
      <c r="G10" s="59"/>
      <c r="H10" s="92"/>
    </row>
    <row r="11" spans="1:11" ht="12.75" x14ac:dyDescent="0.2">
      <c r="A11" s="59"/>
      <c r="B11" s="59"/>
      <c r="C11" s="59"/>
      <c r="D11" s="59"/>
      <c r="E11" s="59"/>
      <c r="F11" s="59"/>
      <c r="G11" s="59"/>
      <c r="H11" s="92"/>
    </row>
    <row r="12" spans="1:11" ht="12.75" x14ac:dyDescent="0.2">
      <c r="A12" s="59"/>
      <c r="B12" s="59"/>
      <c r="C12" s="59"/>
      <c r="D12" s="59"/>
      <c r="E12" s="59"/>
      <c r="F12" s="59"/>
      <c r="G12" s="59"/>
      <c r="H12" s="92"/>
    </row>
    <row r="13" spans="1:11" ht="12.75" x14ac:dyDescent="0.2">
      <c r="A13" s="59"/>
      <c r="B13" s="59"/>
      <c r="C13" s="59"/>
      <c r="D13" s="59"/>
      <c r="E13" s="59"/>
      <c r="F13" s="59"/>
      <c r="G13" s="59"/>
      <c r="H13" s="92"/>
    </row>
    <row r="14" spans="1:11" s="1" customFormat="1" ht="12.75" x14ac:dyDescent="0.2">
      <c r="A14" s="59"/>
      <c r="B14" s="59"/>
      <c r="C14" s="59"/>
      <c r="D14" s="59"/>
      <c r="E14" s="59"/>
      <c r="F14" s="59"/>
      <c r="G14" s="59"/>
      <c r="H14" s="92"/>
      <c r="J14" s="4"/>
    </row>
  </sheetData>
  <mergeCells count="5">
    <mergeCell ref="B3:F3"/>
    <mergeCell ref="B4:F4"/>
    <mergeCell ref="B5:F5"/>
    <mergeCell ref="A6:G6"/>
    <mergeCell ref="B7:G7"/>
  </mergeCells>
  <printOptions horizontalCentered="1"/>
  <pageMargins left="0.25" right="0.25" top="0.5" bottom="0.5" header="0.3" footer="0.05"/>
  <pageSetup orientation="landscape" horizontalDpi="4294967292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L23"/>
  <sheetViews>
    <sheetView view="pageBreakPreview" zoomScaleSheetLayoutView="100" workbookViewId="0">
      <selection activeCell="C6" sqref="C6"/>
    </sheetView>
  </sheetViews>
  <sheetFormatPr defaultColWidth="9.140625" defaultRowHeight="15" x14ac:dyDescent="0.25"/>
  <cols>
    <col min="1" max="1" width="5.85546875" style="4" bestFit="1" customWidth="1"/>
    <col min="2" max="2" width="12.5703125" style="4" customWidth="1"/>
    <col min="3" max="3" width="32" style="4" customWidth="1"/>
    <col min="4" max="4" width="5" style="4" bestFit="1" customWidth="1"/>
    <col min="5" max="5" width="6.28515625" style="4" bestFit="1" customWidth="1"/>
    <col min="6" max="7" width="11.5703125" style="4" bestFit="1" customWidth="1"/>
    <col min="8" max="8" width="16.5703125" style="4" bestFit="1" customWidth="1"/>
    <col min="9" max="9" width="9.140625" style="1"/>
    <col min="11" max="11" width="13.28515625" style="4" bestFit="1" customWidth="1"/>
    <col min="12" max="16384" width="9.140625" style="4"/>
  </cols>
  <sheetData>
    <row r="1" spans="1:12" ht="25.5" x14ac:dyDescent="0.25">
      <c r="A1" s="95" t="s">
        <v>0</v>
      </c>
      <c r="B1" s="96" t="s">
        <v>5</v>
      </c>
      <c r="C1" s="96" t="s">
        <v>2</v>
      </c>
      <c r="D1" s="96" t="s">
        <v>3</v>
      </c>
      <c r="E1" s="96" t="s">
        <v>13</v>
      </c>
      <c r="F1" s="97" t="s">
        <v>11</v>
      </c>
      <c r="G1" s="97" t="s">
        <v>277</v>
      </c>
      <c r="H1" s="97" t="s">
        <v>12</v>
      </c>
      <c r="I1" s="40" t="s">
        <v>17</v>
      </c>
      <c r="K1" s="42" t="s">
        <v>268</v>
      </c>
      <c r="L1" s="4" t="s">
        <v>258</v>
      </c>
    </row>
    <row r="2" spans="1:12" s="59" customFormat="1" ht="12.75" x14ac:dyDescent="0.2">
      <c r="A2" s="51">
        <v>1</v>
      </c>
      <c r="B2" s="51" t="s">
        <v>269</v>
      </c>
      <c r="C2" s="63" t="s">
        <v>278</v>
      </c>
      <c r="D2" s="54" t="s">
        <v>109</v>
      </c>
      <c r="E2" s="51">
        <v>2</v>
      </c>
      <c r="F2" s="55">
        <f>80*1.33*I2</f>
        <v>29792</v>
      </c>
      <c r="G2" s="55">
        <f>F2*18%</f>
        <v>5362.5599999999995</v>
      </c>
      <c r="H2" s="56">
        <f>E2*(F2+G2)</f>
        <v>70309.119999999995</v>
      </c>
      <c r="I2" s="89">
        <v>280</v>
      </c>
      <c r="K2" s="94">
        <v>250</v>
      </c>
    </row>
    <row r="3" spans="1:12" s="59" customFormat="1" ht="12.75" x14ac:dyDescent="0.2">
      <c r="A3" s="51">
        <v>2</v>
      </c>
      <c r="B3" s="51" t="s">
        <v>269</v>
      </c>
      <c r="C3" s="63" t="s">
        <v>279</v>
      </c>
      <c r="D3" s="54" t="s">
        <v>109</v>
      </c>
      <c r="E3" s="51">
        <v>2</v>
      </c>
      <c r="F3" s="55">
        <f t="shared" ref="F3:F7" si="0">80*1.33*I3</f>
        <v>22344</v>
      </c>
      <c r="G3" s="55">
        <f t="shared" ref="G3:G7" si="1">F3*18%</f>
        <v>4021.92</v>
      </c>
      <c r="H3" s="56">
        <f t="shared" ref="H3:H7" si="2">E3*(F3+G3)</f>
        <v>52731.839999999997</v>
      </c>
      <c r="I3" s="89">
        <v>210</v>
      </c>
      <c r="K3" s="94">
        <v>188</v>
      </c>
    </row>
    <row r="4" spans="1:12" s="59" customFormat="1" ht="12.75" x14ac:dyDescent="0.2">
      <c r="A4" s="51">
        <v>3</v>
      </c>
      <c r="B4" s="51" t="s">
        <v>269</v>
      </c>
      <c r="C4" s="63" t="s">
        <v>280</v>
      </c>
      <c r="D4" s="54" t="s">
        <v>109</v>
      </c>
      <c r="E4" s="51">
        <v>2</v>
      </c>
      <c r="F4" s="55">
        <f t="shared" si="0"/>
        <v>90440</v>
      </c>
      <c r="G4" s="55">
        <f t="shared" si="1"/>
        <v>16279.199999999999</v>
      </c>
      <c r="H4" s="56">
        <f t="shared" si="2"/>
        <v>213438.4</v>
      </c>
      <c r="I4" s="89">
        <v>850</v>
      </c>
      <c r="K4" s="94">
        <v>806</v>
      </c>
    </row>
    <row r="5" spans="1:12" s="59" customFormat="1" ht="12.75" x14ac:dyDescent="0.2">
      <c r="A5" s="51">
        <v>4</v>
      </c>
      <c r="B5" s="51" t="s">
        <v>269</v>
      </c>
      <c r="C5" s="63" t="s">
        <v>281</v>
      </c>
      <c r="D5" s="54" t="s">
        <v>109</v>
      </c>
      <c r="E5" s="51">
        <v>0</v>
      </c>
      <c r="F5" s="55">
        <f t="shared" si="0"/>
        <v>37240</v>
      </c>
      <c r="G5" s="55">
        <f t="shared" si="1"/>
        <v>6703.2</v>
      </c>
      <c r="H5" s="56">
        <f t="shared" si="2"/>
        <v>0</v>
      </c>
      <c r="I5" s="89">
        <v>350</v>
      </c>
      <c r="K5" s="94">
        <v>327</v>
      </c>
    </row>
    <row r="6" spans="1:12" s="59" customFormat="1" ht="12.75" x14ac:dyDescent="0.2">
      <c r="A6" s="51">
        <v>5</v>
      </c>
      <c r="B6" s="51" t="s">
        <v>269</v>
      </c>
      <c r="C6" s="63" t="s">
        <v>282</v>
      </c>
      <c r="D6" s="54" t="s">
        <v>109</v>
      </c>
      <c r="E6" s="51">
        <v>0</v>
      </c>
      <c r="F6" s="55">
        <f t="shared" si="0"/>
        <v>40432</v>
      </c>
      <c r="G6" s="55">
        <f t="shared" si="1"/>
        <v>7277.7599999999993</v>
      </c>
      <c r="H6" s="56">
        <f t="shared" si="2"/>
        <v>0</v>
      </c>
      <c r="I6" s="89">
        <v>380</v>
      </c>
      <c r="K6" s="94">
        <v>351</v>
      </c>
    </row>
    <row r="7" spans="1:12" s="59" customFormat="1" ht="12.75" x14ac:dyDescent="0.2">
      <c r="A7" s="51">
        <v>6</v>
      </c>
      <c r="B7" s="51" t="s">
        <v>269</v>
      </c>
      <c r="C7" s="63" t="s">
        <v>283</v>
      </c>
      <c r="D7" s="54" t="s">
        <v>109</v>
      </c>
      <c r="E7" s="51">
        <v>0</v>
      </c>
      <c r="F7" s="55">
        <f t="shared" si="0"/>
        <v>111720</v>
      </c>
      <c r="G7" s="55">
        <f t="shared" si="1"/>
        <v>20109.599999999999</v>
      </c>
      <c r="H7" s="56">
        <f t="shared" si="2"/>
        <v>0</v>
      </c>
      <c r="I7" s="89">
        <v>1050</v>
      </c>
      <c r="K7" s="94">
        <v>1013</v>
      </c>
    </row>
    <row r="8" spans="1:12" ht="12.75" x14ac:dyDescent="0.15">
      <c r="A8" s="98">
        <v>7</v>
      </c>
      <c r="B8" s="337" t="s">
        <v>7</v>
      </c>
      <c r="C8" s="337"/>
      <c r="D8" s="337"/>
      <c r="E8" s="337"/>
      <c r="F8" s="337"/>
      <c r="G8" s="337"/>
      <c r="H8" s="57">
        <f>SUM(H2:H7)</f>
        <v>336479.36</v>
      </c>
      <c r="I8" s="46"/>
      <c r="J8" s="4"/>
      <c r="K8" s="47"/>
    </row>
    <row r="9" spans="1:12" ht="12.75" x14ac:dyDescent="0.15">
      <c r="A9" s="344"/>
      <c r="B9" s="345"/>
      <c r="C9" s="345"/>
      <c r="D9" s="345"/>
      <c r="E9" s="345"/>
      <c r="F9" s="345"/>
      <c r="G9" s="345"/>
      <c r="H9" s="346"/>
      <c r="J9" s="4"/>
    </row>
    <row r="10" spans="1:12" ht="140.25" x14ac:dyDescent="0.15">
      <c r="A10" s="58" t="s">
        <v>9</v>
      </c>
      <c r="B10" s="335" t="s">
        <v>265</v>
      </c>
      <c r="C10" s="335"/>
      <c r="D10" s="335"/>
      <c r="E10" s="335"/>
      <c r="F10" s="335"/>
      <c r="G10" s="335"/>
      <c r="H10" s="336"/>
      <c r="J10" s="4"/>
    </row>
    <row r="11" spans="1:12" ht="12.75" x14ac:dyDescent="0.2">
      <c r="A11" s="59"/>
      <c r="B11" s="59"/>
      <c r="C11" s="59"/>
      <c r="D11" s="59"/>
      <c r="E11" s="59"/>
      <c r="F11" s="59"/>
      <c r="G11" s="59"/>
      <c r="H11" s="59"/>
      <c r="J11" s="4"/>
    </row>
    <row r="12" spans="1:12" ht="12.75" x14ac:dyDescent="0.2">
      <c r="A12" s="59"/>
      <c r="B12" s="59"/>
      <c r="C12" s="59"/>
      <c r="D12" s="59"/>
      <c r="E12" s="59"/>
      <c r="F12" s="59"/>
      <c r="G12" s="59"/>
      <c r="H12" s="59"/>
      <c r="J12" s="4"/>
    </row>
    <row r="13" spans="1:12" ht="12.75" x14ac:dyDescent="0.2">
      <c r="A13" s="59"/>
      <c r="B13" s="59"/>
      <c r="C13" s="59"/>
      <c r="D13" s="59"/>
      <c r="E13" s="59"/>
      <c r="F13" s="59"/>
      <c r="G13" s="59"/>
      <c r="H13" s="59"/>
      <c r="J13" s="4"/>
    </row>
    <row r="14" spans="1:12" ht="12.75" x14ac:dyDescent="0.2">
      <c r="A14" s="59"/>
      <c r="B14" s="59"/>
      <c r="C14" s="59"/>
      <c r="D14" s="59"/>
      <c r="E14" s="59"/>
      <c r="F14" s="59"/>
      <c r="G14" s="59"/>
      <c r="H14" s="59"/>
      <c r="J14" s="4"/>
    </row>
    <row r="15" spans="1:12" ht="12.75" x14ac:dyDescent="0.2">
      <c r="A15" s="59"/>
      <c r="B15" s="59"/>
      <c r="C15" s="59"/>
      <c r="D15" s="59"/>
      <c r="E15" s="59"/>
      <c r="F15" s="59"/>
      <c r="G15" s="59"/>
      <c r="H15" s="59"/>
      <c r="J15" s="4"/>
    </row>
    <row r="16" spans="1:12" ht="12.75" x14ac:dyDescent="0.2">
      <c r="A16" s="59"/>
      <c r="B16" s="59"/>
      <c r="C16" s="59"/>
      <c r="D16" s="59"/>
      <c r="E16" s="59"/>
      <c r="F16" s="59"/>
      <c r="G16" s="59"/>
      <c r="H16" s="59"/>
      <c r="J16" s="4"/>
    </row>
    <row r="17" spans="1:11" s="1" customFormat="1" ht="12.75" x14ac:dyDescent="0.2">
      <c r="A17" s="59"/>
      <c r="B17" s="59"/>
      <c r="C17" s="59"/>
      <c r="D17" s="59"/>
      <c r="E17" s="59"/>
      <c r="F17" s="59"/>
      <c r="G17" s="59"/>
      <c r="H17" s="59"/>
      <c r="K17" s="4"/>
    </row>
    <row r="18" spans="1:11" ht="11.25" x14ac:dyDescent="0.15">
      <c r="J18" s="4"/>
    </row>
    <row r="19" spans="1:11" ht="11.25" x14ac:dyDescent="0.15">
      <c r="J19" s="4"/>
    </row>
    <row r="20" spans="1:11" ht="11.25" x14ac:dyDescent="0.15">
      <c r="J20" s="4"/>
    </row>
    <row r="21" spans="1:11" ht="11.25" x14ac:dyDescent="0.15">
      <c r="J21" s="4"/>
    </row>
    <row r="22" spans="1:11" ht="11.25" x14ac:dyDescent="0.15">
      <c r="J22" s="4"/>
    </row>
    <row r="23" spans="1:11" ht="11.25" x14ac:dyDescent="0.15">
      <c r="J23" s="4"/>
    </row>
  </sheetData>
  <mergeCells count="3">
    <mergeCell ref="B8:G8"/>
    <mergeCell ref="A9:H9"/>
    <mergeCell ref="B10:H10"/>
  </mergeCells>
  <printOptions horizontalCentered="1"/>
  <pageMargins left="0.25" right="0.25" top="0.5" bottom="0.5" header="0.3" footer="0.05"/>
  <pageSetup orientation="landscape" horizontalDpi="4294967292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K15"/>
  <sheetViews>
    <sheetView view="pageBreakPreview" zoomScaleSheetLayoutView="100" workbookViewId="0">
      <selection activeCell="J4" sqref="J4"/>
    </sheetView>
  </sheetViews>
  <sheetFormatPr defaultColWidth="9.140625" defaultRowHeight="11.25" x14ac:dyDescent="0.15"/>
  <cols>
    <col min="1" max="1" width="5.85546875" style="4" bestFit="1" customWidth="1"/>
    <col min="2" max="2" width="12.5703125" style="4" customWidth="1"/>
    <col min="3" max="3" width="50.42578125" style="4" customWidth="1"/>
    <col min="4" max="4" width="5" style="4" bestFit="1" customWidth="1"/>
    <col min="5" max="5" width="6.28515625" style="4" bestFit="1" customWidth="1"/>
    <col min="6" max="6" width="11.5703125" style="4" bestFit="1" customWidth="1"/>
    <col min="7" max="7" width="16.5703125" style="4" bestFit="1" customWidth="1"/>
    <col min="8" max="8" width="16.5703125" style="93" customWidth="1"/>
    <col min="9" max="9" width="9.140625" style="1"/>
    <col min="10" max="10" width="13.28515625" style="4" bestFit="1" customWidth="1"/>
    <col min="11" max="16384" width="9.140625" style="4"/>
  </cols>
  <sheetData>
    <row r="1" spans="1:11" ht="25.5" x14ac:dyDescent="0.15">
      <c r="A1" s="95" t="s">
        <v>0</v>
      </c>
      <c r="B1" s="96" t="s">
        <v>5</v>
      </c>
      <c r="C1" s="96" t="s">
        <v>2</v>
      </c>
      <c r="D1" s="96" t="s">
        <v>3</v>
      </c>
      <c r="E1" s="96" t="s">
        <v>13</v>
      </c>
      <c r="F1" s="97" t="s">
        <v>11</v>
      </c>
      <c r="G1" s="97" t="s">
        <v>12</v>
      </c>
      <c r="H1" s="50" t="s">
        <v>120</v>
      </c>
      <c r="I1" s="40" t="s">
        <v>17</v>
      </c>
      <c r="J1" s="42" t="s">
        <v>110</v>
      </c>
      <c r="K1" s="4" t="s">
        <v>258</v>
      </c>
    </row>
    <row r="2" spans="1:11" s="59" customFormat="1" ht="25.5" x14ac:dyDescent="0.2">
      <c r="A2" s="51">
        <v>1</v>
      </c>
      <c r="B2" s="51">
        <v>5307000018</v>
      </c>
      <c r="C2" s="63" t="s">
        <v>270</v>
      </c>
      <c r="D2" s="54" t="s">
        <v>109</v>
      </c>
      <c r="E2" s="51">
        <v>1</v>
      </c>
      <c r="F2" s="55">
        <f>80*1.33*I2</f>
        <v>1330000</v>
      </c>
      <c r="G2" s="56">
        <f t="shared" ref="G2:G3" si="0">F2*E2</f>
        <v>1330000</v>
      </c>
      <c r="H2" s="89"/>
      <c r="I2" s="89">
        <v>12500</v>
      </c>
      <c r="J2" s="94">
        <f>I2</f>
        <v>12500</v>
      </c>
    </row>
    <row r="3" spans="1:11" s="59" customFormat="1" ht="63.75" x14ac:dyDescent="0.2">
      <c r="A3" s="51">
        <v>2</v>
      </c>
      <c r="B3" s="51">
        <v>5401000009</v>
      </c>
      <c r="C3" s="63" t="s">
        <v>271</v>
      </c>
      <c r="D3" s="54" t="s">
        <v>109</v>
      </c>
      <c r="E3" s="51">
        <v>2</v>
      </c>
      <c r="F3" s="55">
        <f>80*1.33*I3</f>
        <v>297920</v>
      </c>
      <c r="G3" s="56">
        <f t="shared" si="0"/>
        <v>595840</v>
      </c>
      <c r="H3" s="89"/>
      <c r="I3" s="89">
        <v>2800</v>
      </c>
      <c r="J3" s="94">
        <v>2750</v>
      </c>
    </row>
    <row r="4" spans="1:11" ht="12.75" x14ac:dyDescent="0.15">
      <c r="A4" s="98">
        <v>3</v>
      </c>
      <c r="B4" s="337" t="s">
        <v>7</v>
      </c>
      <c r="C4" s="337"/>
      <c r="D4" s="337"/>
      <c r="E4" s="337"/>
      <c r="F4" s="337"/>
      <c r="G4" s="57">
        <f>SUM(G2:G3)</f>
        <v>1925840</v>
      </c>
      <c r="H4" s="90"/>
      <c r="I4" s="46"/>
      <c r="J4" s="47"/>
    </row>
    <row r="5" spans="1:11" ht="12.75" x14ac:dyDescent="0.15">
      <c r="A5" s="51">
        <v>4</v>
      </c>
      <c r="B5" s="337" t="s">
        <v>100</v>
      </c>
      <c r="C5" s="337"/>
      <c r="D5" s="337"/>
      <c r="E5" s="337"/>
      <c r="F5" s="337"/>
      <c r="G5" s="57">
        <f>G4*18%</f>
        <v>346651.2</v>
      </c>
      <c r="H5" s="90"/>
    </row>
    <row r="6" spans="1:11" ht="12.75" x14ac:dyDescent="0.15">
      <c r="A6" s="51">
        <v>5</v>
      </c>
      <c r="B6" s="337" t="s">
        <v>8</v>
      </c>
      <c r="C6" s="337"/>
      <c r="D6" s="337"/>
      <c r="E6" s="337"/>
      <c r="F6" s="337"/>
      <c r="G6" s="57">
        <f>G5+G4</f>
        <v>2272491.2000000002</v>
      </c>
      <c r="H6" s="90"/>
    </row>
    <row r="7" spans="1:11" ht="12.75" x14ac:dyDescent="0.15">
      <c r="A7" s="344"/>
      <c r="B7" s="345"/>
      <c r="C7" s="345"/>
      <c r="D7" s="345"/>
      <c r="E7" s="345"/>
      <c r="F7" s="345"/>
      <c r="G7" s="346"/>
      <c r="H7" s="91"/>
    </row>
    <row r="8" spans="1:11" ht="140.25" x14ac:dyDescent="0.15">
      <c r="A8" s="58" t="s">
        <v>9</v>
      </c>
      <c r="B8" s="335" t="s">
        <v>265</v>
      </c>
      <c r="C8" s="335"/>
      <c r="D8" s="335"/>
      <c r="E8" s="335"/>
      <c r="F8" s="335"/>
      <c r="G8" s="336"/>
      <c r="H8" s="88"/>
    </row>
    <row r="9" spans="1:11" ht="12.75" x14ac:dyDescent="0.2">
      <c r="A9" s="59"/>
      <c r="B9" s="59"/>
      <c r="C9" s="59"/>
      <c r="D9" s="59"/>
      <c r="E9" s="59"/>
      <c r="F9" s="59"/>
      <c r="G9" s="59"/>
      <c r="H9" s="92"/>
    </row>
    <row r="10" spans="1:11" ht="12.75" x14ac:dyDescent="0.2">
      <c r="A10" s="59"/>
      <c r="B10" s="59"/>
      <c r="C10" s="59"/>
      <c r="D10" s="59"/>
      <c r="E10" s="59"/>
      <c r="F10" s="59"/>
      <c r="G10" s="59"/>
      <c r="H10" s="92"/>
    </row>
    <row r="11" spans="1:11" ht="12.75" x14ac:dyDescent="0.2">
      <c r="A11" s="59"/>
      <c r="B11" s="59"/>
      <c r="C11" s="59"/>
      <c r="D11" s="59"/>
      <c r="E11" s="59"/>
      <c r="F11" s="59"/>
      <c r="G11" s="59"/>
      <c r="H11" s="92"/>
    </row>
    <row r="12" spans="1:11" ht="12.75" x14ac:dyDescent="0.2">
      <c r="A12" s="59"/>
      <c r="B12" s="59"/>
      <c r="C12" s="59"/>
      <c r="D12" s="59"/>
      <c r="E12" s="59"/>
      <c r="F12" s="59"/>
      <c r="G12" s="59"/>
      <c r="H12" s="92"/>
    </row>
    <row r="13" spans="1:11" ht="12.75" x14ac:dyDescent="0.2">
      <c r="A13" s="59"/>
      <c r="B13" s="59"/>
      <c r="C13" s="59"/>
      <c r="D13" s="59"/>
      <c r="E13" s="59"/>
      <c r="F13" s="59"/>
      <c r="G13" s="59"/>
      <c r="H13" s="92"/>
    </row>
    <row r="14" spans="1:11" ht="12.75" x14ac:dyDescent="0.2">
      <c r="A14" s="59"/>
      <c r="B14" s="59"/>
      <c r="C14" s="59"/>
      <c r="D14" s="59"/>
      <c r="E14" s="59"/>
      <c r="F14" s="59"/>
      <c r="G14" s="59"/>
      <c r="H14" s="92"/>
    </row>
    <row r="15" spans="1:11" s="1" customFormat="1" ht="12.75" x14ac:dyDescent="0.2">
      <c r="A15" s="59"/>
      <c r="B15" s="59"/>
      <c r="C15" s="59"/>
      <c r="D15" s="59"/>
      <c r="E15" s="59"/>
      <c r="F15" s="59"/>
      <c r="G15" s="59"/>
      <c r="H15" s="92"/>
      <c r="J15" s="4"/>
    </row>
  </sheetData>
  <mergeCells count="5">
    <mergeCell ref="B4:F4"/>
    <mergeCell ref="B5:F5"/>
    <mergeCell ref="B6:F6"/>
    <mergeCell ref="A7:G7"/>
    <mergeCell ref="B8:G8"/>
  </mergeCells>
  <printOptions horizontalCentered="1"/>
  <pageMargins left="0.25" right="0.25" top="0.5" bottom="0.5" header="0.3" footer="0.05"/>
  <pageSetup orientation="landscape" horizontalDpi="4294967292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K15"/>
  <sheetViews>
    <sheetView zoomScaleNormal="100" zoomScaleSheetLayoutView="100" workbookViewId="0">
      <selection activeCell="H8" sqref="H8"/>
    </sheetView>
  </sheetViews>
  <sheetFormatPr defaultColWidth="9.140625" defaultRowHeight="11.25" x14ac:dyDescent="0.15"/>
  <cols>
    <col min="1" max="1" width="5.85546875" style="4" bestFit="1" customWidth="1"/>
    <col min="2" max="2" width="12.5703125" style="4" customWidth="1"/>
    <col min="3" max="3" width="50.42578125" style="4" customWidth="1"/>
    <col min="4" max="4" width="5" style="4" bestFit="1" customWidth="1"/>
    <col min="5" max="5" width="6.28515625" style="4" bestFit="1" customWidth="1"/>
    <col min="6" max="6" width="11.5703125" style="4" bestFit="1" customWidth="1"/>
    <col min="7" max="7" width="16.5703125" style="4" bestFit="1" customWidth="1"/>
    <col min="8" max="8" width="16.5703125" style="93" customWidth="1"/>
    <col min="9" max="9" width="9.140625" style="1"/>
    <col min="10" max="10" width="13.28515625" style="4" bestFit="1" customWidth="1"/>
    <col min="11" max="16384" width="9.140625" style="4"/>
  </cols>
  <sheetData>
    <row r="1" spans="1:11" ht="25.5" x14ac:dyDescent="0.15">
      <c r="A1" s="95" t="s">
        <v>0</v>
      </c>
      <c r="B1" s="96" t="s">
        <v>5</v>
      </c>
      <c r="C1" s="96" t="s">
        <v>2</v>
      </c>
      <c r="D1" s="96" t="s">
        <v>3</v>
      </c>
      <c r="E1" s="96" t="s">
        <v>13</v>
      </c>
      <c r="F1" s="97" t="s">
        <v>11</v>
      </c>
      <c r="G1" s="97" t="s">
        <v>12</v>
      </c>
      <c r="H1" s="50" t="s">
        <v>120</v>
      </c>
      <c r="I1" s="40" t="s">
        <v>17</v>
      </c>
      <c r="J1" s="42" t="s">
        <v>10</v>
      </c>
      <c r="K1" s="4" t="s">
        <v>258</v>
      </c>
    </row>
    <row r="2" spans="1:11" s="59" customFormat="1" ht="25.5" x14ac:dyDescent="0.2">
      <c r="A2" s="51">
        <v>1</v>
      </c>
      <c r="B2" s="51">
        <v>7307000118</v>
      </c>
      <c r="C2" s="63" t="s">
        <v>275</v>
      </c>
      <c r="D2" s="54" t="s">
        <v>109</v>
      </c>
      <c r="E2" s="51">
        <v>1</v>
      </c>
      <c r="F2" s="55">
        <f>80*1.33*I2</f>
        <v>31920</v>
      </c>
      <c r="G2" s="56">
        <f t="shared" ref="G2:G3" si="0">F2*E2</f>
        <v>31920</v>
      </c>
      <c r="H2" s="89"/>
      <c r="I2" s="89">
        <v>300</v>
      </c>
      <c r="J2" s="94">
        <v>250</v>
      </c>
    </row>
    <row r="3" spans="1:11" s="59" customFormat="1" ht="25.5" x14ac:dyDescent="0.2">
      <c r="A3" s="51">
        <v>2</v>
      </c>
      <c r="B3" s="51">
        <v>7307000133</v>
      </c>
      <c r="C3" s="63" t="s">
        <v>276</v>
      </c>
      <c r="D3" s="54" t="s">
        <v>109</v>
      </c>
      <c r="E3" s="51">
        <v>3</v>
      </c>
      <c r="F3" s="55">
        <f>80*1.33*I3</f>
        <v>500080</v>
      </c>
      <c r="G3" s="56">
        <f t="shared" si="0"/>
        <v>1500240</v>
      </c>
      <c r="H3" s="89"/>
      <c r="I3" s="89">
        <v>4700</v>
      </c>
      <c r="J3" s="94">
        <v>4700</v>
      </c>
    </row>
    <row r="4" spans="1:11" ht="12.75" x14ac:dyDescent="0.15">
      <c r="A4" s="98">
        <v>3</v>
      </c>
      <c r="B4" s="337" t="s">
        <v>7</v>
      </c>
      <c r="C4" s="337"/>
      <c r="D4" s="337"/>
      <c r="E4" s="337"/>
      <c r="F4" s="337"/>
      <c r="G4" s="57">
        <f>SUM(G2:G3)</f>
        <v>1532160</v>
      </c>
      <c r="H4" s="90"/>
      <c r="I4" s="46"/>
      <c r="J4" s="47"/>
    </row>
    <row r="5" spans="1:11" ht="12.75" x14ac:dyDescent="0.15">
      <c r="A5" s="51">
        <v>4</v>
      </c>
      <c r="B5" s="337" t="s">
        <v>100</v>
      </c>
      <c r="C5" s="337"/>
      <c r="D5" s="337"/>
      <c r="E5" s="337"/>
      <c r="F5" s="337"/>
      <c r="G5" s="57">
        <f>G4*18%</f>
        <v>275788.79999999999</v>
      </c>
      <c r="H5" s="90"/>
    </row>
    <row r="6" spans="1:11" ht="12.75" x14ac:dyDescent="0.15">
      <c r="A6" s="51">
        <v>5</v>
      </c>
      <c r="B6" s="337" t="s">
        <v>8</v>
      </c>
      <c r="C6" s="337"/>
      <c r="D6" s="337"/>
      <c r="E6" s="337"/>
      <c r="F6" s="337"/>
      <c r="G6" s="57">
        <f>G5+G4</f>
        <v>1807948.8</v>
      </c>
      <c r="H6" s="90"/>
    </row>
    <row r="7" spans="1:11" ht="12.75" x14ac:dyDescent="0.15">
      <c r="A7" s="344"/>
      <c r="B7" s="345"/>
      <c r="C7" s="345"/>
      <c r="D7" s="345"/>
      <c r="E7" s="345"/>
      <c r="F7" s="345"/>
      <c r="G7" s="346"/>
      <c r="H7" s="91"/>
    </row>
    <row r="8" spans="1:11" ht="140.25" x14ac:dyDescent="0.15">
      <c r="A8" s="58" t="s">
        <v>9</v>
      </c>
      <c r="B8" s="335" t="s">
        <v>265</v>
      </c>
      <c r="C8" s="335"/>
      <c r="D8" s="335"/>
      <c r="E8" s="335"/>
      <c r="F8" s="335"/>
      <c r="G8" s="336"/>
      <c r="H8" s="88"/>
    </row>
    <row r="9" spans="1:11" ht="12.75" x14ac:dyDescent="0.2">
      <c r="A9" s="59"/>
      <c r="B9" s="59"/>
      <c r="C9" s="59"/>
      <c r="D9" s="59"/>
      <c r="E9" s="59"/>
      <c r="F9" s="59"/>
      <c r="G9" s="59"/>
      <c r="H9" s="92"/>
    </row>
    <row r="10" spans="1:11" ht="12.75" x14ac:dyDescent="0.2">
      <c r="A10" s="59"/>
      <c r="B10" s="59"/>
      <c r="C10" s="59"/>
      <c r="D10" s="59"/>
      <c r="E10" s="59"/>
      <c r="F10" s="59"/>
      <c r="G10" s="59"/>
      <c r="H10" s="92"/>
    </row>
    <row r="11" spans="1:11" ht="12.75" x14ac:dyDescent="0.2">
      <c r="A11" s="59"/>
      <c r="B11" s="59"/>
      <c r="C11" s="59"/>
      <c r="D11" s="59"/>
      <c r="E11" s="59"/>
      <c r="F11" s="59"/>
      <c r="G11" s="59"/>
      <c r="H11" s="92"/>
    </row>
    <row r="12" spans="1:11" ht="12.75" x14ac:dyDescent="0.2">
      <c r="A12" s="59"/>
      <c r="B12" s="59"/>
      <c r="C12" s="59"/>
      <c r="D12" s="59"/>
      <c r="E12" s="59"/>
      <c r="F12" s="59"/>
      <c r="G12" s="59"/>
      <c r="H12" s="92"/>
    </row>
    <row r="13" spans="1:11" ht="12.75" x14ac:dyDescent="0.2">
      <c r="A13" s="59"/>
      <c r="B13" s="59"/>
      <c r="C13" s="59"/>
      <c r="D13" s="59"/>
      <c r="E13" s="59"/>
      <c r="F13" s="59"/>
      <c r="G13" s="59"/>
      <c r="H13" s="92"/>
    </row>
    <row r="14" spans="1:11" ht="12.75" x14ac:dyDescent="0.2">
      <c r="A14" s="59"/>
      <c r="B14" s="59"/>
      <c r="C14" s="59"/>
      <c r="D14" s="59"/>
      <c r="E14" s="59"/>
      <c r="F14" s="59"/>
      <c r="G14" s="59"/>
      <c r="H14" s="92"/>
    </row>
    <row r="15" spans="1:11" s="1" customFormat="1" ht="12.75" x14ac:dyDescent="0.2">
      <c r="A15" s="59"/>
      <c r="B15" s="59"/>
      <c r="C15" s="59"/>
      <c r="D15" s="59"/>
      <c r="E15" s="59"/>
      <c r="F15" s="59"/>
      <c r="G15" s="59"/>
      <c r="H15" s="92"/>
      <c r="J15" s="4"/>
    </row>
  </sheetData>
  <mergeCells count="5">
    <mergeCell ref="B4:F4"/>
    <mergeCell ref="B5:F5"/>
    <mergeCell ref="B6:F6"/>
    <mergeCell ref="A7:G7"/>
    <mergeCell ref="B8:G8"/>
  </mergeCells>
  <printOptions horizontalCentered="1"/>
  <pageMargins left="0.25" right="0.25" top="0.5" bottom="0.5" header="0.3" footer="0.05"/>
  <pageSetup orientation="landscape" horizontalDpi="4294967292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K14"/>
  <sheetViews>
    <sheetView zoomScaleNormal="100" zoomScaleSheetLayoutView="100" workbookViewId="0">
      <selection activeCell="H4" sqref="H4"/>
    </sheetView>
  </sheetViews>
  <sheetFormatPr defaultColWidth="9.140625" defaultRowHeight="11.25" x14ac:dyDescent="0.15"/>
  <cols>
    <col min="1" max="1" width="5.85546875" style="4" bestFit="1" customWidth="1"/>
    <col min="2" max="2" width="12.5703125" style="4" customWidth="1"/>
    <col min="3" max="3" width="50.42578125" style="4" customWidth="1"/>
    <col min="4" max="4" width="5" style="4" bestFit="1" customWidth="1"/>
    <col min="5" max="5" width="6.28515625" style="4" bestFit="1" customWidth="1"/>
    <col min="6" max="6" width="11.5703125" style="4" bestFit="1" customWidth="1"/>
    <col min="7" max="7" width="16.5703125" style="4" bestFit="1" customWidth="1"/>
    <col min="8" max="8" width="16.5703125" style="93" customWidth="1"/>
    <col min="9" max="9" width="9.140625" style="1"/>
    <col min="10" max="10" width="13.28515625" style="4" bestFit="1" customWidth="1"/>
    <col min="11" max="16384" width="9.140625" style="4"/>
  </cols>
  <sheetData>
    <row r="1" spans="1:11" ht="25.5" x14ac:dyDescent="0.15">
      <c r="A1" s="95" t="s">
        <v>0</v>
      </c>
      <c r="B1" s="96" t="s">
        <v>5</v>
      </c>
      <c r="C1" s="96" t="s">
        <v>2</v>
      </c>
      <c r="D1" s="96" t="s">
        <v>3</v>
      </c>
      <c r="E1" s="96" t="s">
        <v>13</v>
      </c>
      <c r="F1" s="97" t="s">
        <v>11</v>
      </c>
      <c r="G1" s="97" t="s">
        <v>12</v>
      </c>
      <c r="H1" s="50" t="s">
        <v>120</v>
      </c>
      <c r="I1" s="40" t="s">
        <v>17</v>
      </c>
      <c r="J1" s="42" t="s">
        <v>10</v>
      </c>
      <c r="K1" s="4" t="s">
        <v>110</v>
      </c>
    </row>
    <row r="2" spans="1:11" s="59" customFormat="1" ht="25.5" x14ac:dyDescent="0.2">
      <c r="A2" s="51">
        <v>1</v>
      </c>
      <c r="B2" s="51">
        <v>7310000034</v>
      </c>
      <c r="C2" s="63" t="s">
        <v>285</v>
      </c>
      <c r="D2" s="54" t="s">
        <v>109</v>
      </c>
      <c r="E2" s="51">
        <v>2</v>
      </c>
      <c r="F2" s="55">
        <f>80*1.33*I2</f>
        <v>138320</v>
      </c>
      <c r="G2" s="56">
        <f t="shared" ref="G2" si="0">F2*E2</f>
        <v>276640</v>
      </c>
      <c r="H2" s="89"/>
      <c r="I2" s="89">
        <v>1300</v>
      </c>
      <c r="J2" s="94">
        <v>1500</v>
      </c>
      <c r="K2" s="59">
        <v>1300</v>
      </c>
    </row>
    <row r="3" spans="1:11" ht="12.75" x14ac:dyDescent="0.15">
      <c r="A3" s="51">
        <v>2</v>
      </c>
      <c r="B3" s="337" t="s">
        <v>7</v>
      </c>
      <c r="C3" s="337"/>
      <c r="D3" s="337"/>
      <c r="E3" s="337"/>
      <c r="F3" s="337"/>
      <c r="G3" s="57">
        <f>SUM(G2:G2)</f>
        <v>276640</v>
      </c>
      <c r="H3" s="90"/>
      <c r="I3" s="46"/>
      <c r="J3" s="47"/>
    </row>
    <row r="4" spans="1:11" ht="12.75" x14ac:dyDescent="0.15">
      <c r="A4" s="98">
        <v>3</v>
      </c>
      <c r="B4" s="337" t="s">
        <v>286</v>
      </c>
      <c r="C4" s="337"/>
      <c r="D4" s="337"/>
      <c r="E4" s="337"/>
      <c r="F4" s="337"/>
      <c r="G4" s="57">
        <f>G3*18%</f>
        <v>49795.199999999997</v>
      </c>
      <c r="H4" s="90"/>
    </row>
    <row r="5" spans="1:11" ht="12.75" x14ac:dyDescent="0.15">
      <c r="A5" s="51">
        <v>4</v>
      </c>
      <c r="B5" s="337" t="s">
        <v>8</v>
      </c>
      <c r="C5" s="337"/>
      <c r="D5" s="337"/>
      <c r="E5" s="337"/>
      <c r="F5" s="337"/>
      <c r="G5" s="57">
        <f>G4+G3</f>
        <v>326435.20000000001</v>
      </c>
      <c r="H5" s="90"/>
    </row>
    <row r="6" spans="1:11" ht="12.75" x14ac:dyDescent="0.15">
      <c r="A6" s="344"/>
      <c r="B6" s="345"/>
      <c r="C6" s="345"/>
      <c r="D6" s="345"/>
      <c r="E6" s="345"/>
      <c r="F6" s="345"/>
      <c r="G6" s="346"/>
      <c r="H6" s="91"/>
    </row>
    <row r="7" spans="1:11" ht="140.25" x14ac:dyDescent="0.15">
      <c r="A7" s="58" t="s">
        <v>9</v>
      </c>
      <c r="B7" s="335" t="s">
        <v>265</v>
      </c>
      <c r="C7" s="335"/>
      <c r="D7" s="335"/>
      <c r="E7" s="335"/>
      <c r="F7" s="335"/>
      <c r="G7" s="336"/>
      <c r="H7" s="88"/>
    </row>
    <row r="8" spans="1:11" ht="12.75" x14ac:dyDescent="0.2">
      <c r="A8" s="59"/>
      <c r="B8" s="59"/>
      <c r="C8" s="59"/>
      <c r="D8" s="59"/>
      <c r="E8" s="59"/>
      <c r="F8" s="59"/>
      <c r="G8" s="59"/>
      <c r="H8" s="92"/>
    </row>
    <row r="9" spans="1:11" ht="12.75" x14ac:dyDescent="0.2">
      <c r="A9" s="59"/>
      <c r="B9" s="59"/>
      <c r="C9" s="59"/>
      <c r="D9" s="59"/>
      <c r="E9" s="59"/>
      <c r="F9" s="59"/>
      <c r="G9" s="59"/>
      <c r="H9" s="92"/>
    </row>
    <row r="10" spans="1:11" ht="12.75" x14ac:dyDescent="0.2">
      <c r="A10" s="59"/>
      <c r="B10" s="59"/>
      <c r="C10" s="59"/>
      <c r="D10" s="59"/>
      <c r="E10" s="59"/>
      <c r="F10" s="59"/>
      <c r="G10" s="59"/>
      <c r="H10" s="92"/>
    </row>
    <row r="11" spans="1:11" ht="12.75" x14ac:dyDescent="0.2">
      <c r="A11" s="59"/>
      <c r="B11" s="59"/>
      <c r="C11" s="59"/>
      <c r="D11" s="59"/>
      <c r="E11" s="59"/>
      <c r="F11" s="59"/>
      <c r="G11" s="59"/>
      <c r="H11" s="92"/>
    </row>
    <row r="12" spans="1:11" ht="12.75" x14ac:dyDescent="0.2">
      <c r="A12" s="59"/>
      <c r="B12" s="59"/>
      <c r="C12" s="59"/>
      <c r="D12" s="59"/>
      <c r="E12" s="59"/>
      <c r="F12" s="59"/>
      <c r="G12" s="59"/>
      <c r="H12" s="92"/>
    </row>
    <row r="13" spans="1:11" ht="12.75" x14ac:dyDescent="0.2">
      <c r="A13" s="59"/>
      <c r="B13" s="59"/>
      <c r="C13" s="59"/>
      <c r="D13" s="59"/>
      <c r="E13" s="59"/>
      <c r="F13" s="59"/>
      <c r="G13" s="59"/>
      <c r="H13" s="92"/>
    </row>
    <row r="14" spans="1:11" s="1" customFormat="1" ht="12.75" x14ac:dyDescent="0.2">
      <c r="A14" s="59"/>
      <c r="B14" s="59"/>
      <c r="C14" s="59"/>
      <c r="D14" s="59"/>
      <c r="E14" s="59"/>
      <c r="F14" s="59"/>
      <c r="G14" s="59"/>
      <c r="H14" s="92"/>
      <c r="J14" s="4"/>
    </row>
  </sheetData>
  <mergeCells count="5">
    <mergeCell ref="B3:F3"/>
    <mergeCell ref="B4:F4"/>
    <mergeCell ref="B5:F5"/>
    <mergeCell ref="A6:G6"/>
    <mergeCell ref="B7:G7"/>
  </mergeCells>
  <printOptions horizontalCentered="1"/>
  <pageMargins left="0.25" right="0.25" top="0.5" bottom="0.5" header="0.3" footer="0.05"/>
  <pageSetup orientation="landscape" horizontalDpi="4294967292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L18"/>
  <sheetViews>
    <sheetView view="pageBreakPreview" zoomScaleSheetLayoutView="100" workbookViewId="0">
      <selection activeCell="B3" sqref="B3:G3"/>
    </sheetView>
  </sheetViews>
  <sheetFormatPr defaultColWidth="9.140625" defaultRowHeight="15" x14ac:dyDescent="0.25"/>
  <cols>
    <col min="1" max="1" width="5.85546875" style="4" bestFit="1" customWidth="1"/>
    <col min="2" max="2" width="12.5703125" style="4" customWidth="1"/>
    <col min="3" max="3" width="32" style="4" customWidth="1"/>
    <col min="4" max="4" width="5" style="4" bestFit="1" customWidth="1"/>
    <col min="5" max="5" width="6.28515625" style="4" bestFit="1" customWidth="1"/>
    <col min="6" max="7" width="11.5703125" style="4" bestFit="1" customWidth="1"/>
    <col min="8" max="8" width="16.5703125" style="4" bestFit="1" customWidth="1"/>
    <col min="9" max="9" width="9.140625" style="1"/>
    <col min="11" max="11" width="13.28515625" style="4" bestFit="1" customWidth="1"/>
    <col min="12" max="16384" width="9.140625" style="4"/>
  </cols>
  <sheetData>
    <row r="1" spans="1:12" ht="25.5" x14ac:dyDescent="0.25">
      <c r="A1" s="95" t="s">
        <v>0</v>
      </c>
      <c r="B1" s="96" t="s">
        <v>5</v>
      </c>
      <c r="C1" s="96" t="s">
        <v>2</v>
      </c>
      <c r="D1" s="96" t="s">
        <v>3</v>
      </c>
      <c r="E1" s="96" t="s">
        <v>13</v>
      </c>
      <c r="F1" s="97" t="s">
        <v>11</v>
      </c>
      <c r="G1" s="97" t="s">
        <v>277</v>
      </c>
      <c r="H1" s="97" t="s">
        <v>12</v>
      </c>
      <c r="I1" s="40" t="s">
        <v>17</v>
      </c>
      <c r="K1" s="42" t="s">
        <v>10</v>
      </c>
      <c r="L1" s="4" t="s">
        <v>258</v>
      </c>
    </row>
    <row r="2" spans="1:12" s="59" customFormat="1" ht="76.5" x14ac:dyDescent="0.2">
      <c r="A2" s="51">
        <v>1</v>
      </c>
      <c r="B2" s="51" t="s">
        <v>269</v>
      </c>
      <c r="C2" s="63" t="s">
        <v>287</v>
      </c>
      <c r="D2" s="54" t="s">
        <v>109</v>
      </c>
      <c r="E2" s="51">
        <v>2</v>
      </c>
      <c r="F2" s="55">
        <f>80*1.3*I2</f>
        <v>156000</v>
      </c>
      <c r="G2" s="55">
        <f>F2*18%</f>
        <v>28080</v>
      </c>
      <c r="H2" s="56">
        <f>E2*(F2+G2)</f>
        <v>368160</v>
      </c>
      <c r="I2" s="89">
        <v>1500</v>
      </c>
      <c r="K2" s="94">
        <v>1500</v>
      </c>
    </row>
    <row r="3" spans="1:12" ht="12.75" x14ac:dyDescent="0.15">
      <c r="A3" s="98">
        <v>2</v>
      </c>
      <c r="B3" s="337" t="s">
        <v>7</v>
      </c>
      <c r="C3" s="337"/>
      <c r="D3" s="337"/>
      <c r="E3" s="337"/>
      <c r="F3" s="337"/>
      <c r="G3" s="337"/>
      <c r="H3" s="57">
        <f>SUM(H2:H2)</f>
        <v>368160</v>
      </c>
      <c r="I3" s="46"/>
      <c r="J3" s="4"/>
      <c r="K3" s="47"/>
    </row>
    <row r="4" spans="1:12" ht="12.75" x14ac:dyDescent="0.15">
      <c r="A4" s="344"/>
      <c r="B4" s="345"/>
      <c r="C4" s="345"/>
      <c r="D4" s="345"/>
      <c r="E4" s="345"/>
      <c r="F4" s="345"/>
      <c r="G4" s="345"/>
      <c r="H4" s="346"/>
      <c r="J4" s="4"/>
    </row>
    <row r="5" spans="1:12" ht="140.25" x14ac:dyDescent="0.15">
      <c r="A5" s="58" t="s">
        <v>9</v>
      </c>
      <c r="B5" s="335" t="s">
        <v>265</v>
      </c>
      <c r="C5" s="335"/>
      <c r="D5" s="335"/>
      <c r="E5" s="335"/>
      <c r="F5" s="335"/>
      <c r="G5" s="335"/>
      <c r="H5" s="336"/>
      <c r="J5" s="4"/>
    </row>
    <row r="6" spans="1:12" ht="12.75" x14ac:dyDescent="0.2">
      <c r="A6" s="59"/>
      <c r="B6" s="59"/>
      <c r="C6" s="59"/>
      <c r="D6" s="59"/>
      <c r="E6" s="59"/>
      <c r="F6" s="59"/>
      <c r="G6" s="59"/>
      <c r="H6" s="59"/>
      <c r="J6" s="4"/>
    </row>
    <row r="7" spans="1:12" ht="12.75" x14ac:dyDescent="0.2">
      <c r="A7" s="59"/>
      <c r="B7" s="59"/>
      <c r="C7" s="59"/>
      <c r="D7" s="59"/>
      <c r="E7" s="59"/>
      <c r="F7" s="59"/>
      <c r="G7" s="59"/>
      <c r="H7" s="59"/>
      <c r="J7" s="4"/>
    </row>
    <row r="8" spans="1:12" ht="12.75" x14ac:dyDescent="0.2">
      <c r="A8" s="59"/>
      <c r="B8" s="59"/>
      <c r="C8" s="59"/>
      <c r="D8" s="59"/>
      <c r="E8" s="59"/>
      <c r="F8" s="59"/>
      <c r="G8" s="59"/>
      <c r="H8" s="59"/>
      <c r="J8" s="4"/>
    </row>
    <row r="9" spans="1:12" ht="12.75" x14ac:dyDescent="0.2">
      <c r="A9" s="59"/>
      <c r="B9" s="59"/>
      <c r="C9" s="59"/>
      <c r="D9" s="59"/>
      <c r="E9" s="59"/>
      <c r="F9" s="59"/>
      <c r="G9" s="59"/>
      <c r="H9" s="59"/>
      <c r="J9" s="4"/>
    </row>
    <row r="10" spans="1:12" ht="12.75" x14ac:dyDescent="0.2">
      <c r="A10" s="59"/>
      <c r="B10" s="59"/>
      <c r="C10" s="59"/>
      <c r="D10" s="59"/>
      <c r="E10" s="59"/>
      <c r="F10" s="59"/>
      <c r="G10" s="59"/>
      <c r="H10" s="59"/>
      <c r="J10" s="4"/>
    </row>
    <row r="11" spans="1:12" ht="12.75" x14ac:dyDescent="0.2">
      <c r="A11" s="59"/>
      <c r="B11" s="59"/>
      <c r="C11" s="59"/>
      <c r="D11" s="59"/>
      <c r="E11" s="59"/>
      <c r="F11" s="59"/>
      <c r="G11" s="59"/>
      <c r="H11" s="59"/>
      <c r="J11" s="4"/>
    </row>
    <row r="12" spans="1:12" s="1" customFormat="1" ht="12.75" x14ac:dyDescent="0.2">
      <c r="A12" s="59"/>
      <c r="B12" s="59"/>
      <c r="C12" s="59"/>
      <c r="D12" s="59"/>
      <c r="E12" s="59"/>
      <c r="F12" s="59"/>
      <c r="G12" s="59"/>
      <c r="H12" s="59"/>
      <c r="K12" s="4"/>
    </row>
    <row r="13" spans="1:12" ht="11.25" x14ac:dyDescent="0.15">
      <c r="J13" s="4"/>
    </row>
    <row r="14" spans="1:12" ht="11.25" x14ac:dyDescent="0.15">
      <c r="J14" s="4"/>
    </row>
    <row r="15" spans="1:12" ht="11.25" x14ac:dyDescent="0.15">
      <c r="J15" s="4"/>
    </row>
    <row r="16" spans="1:12" ht="11.25" x14ac:dyDescent="0.15">
      <c r="J16" s="4"/>
    </row>
    <row r="17" spans="10:10" ht="11.25" x14ac:dyDescent="0.15">
      <c r="J17" s="4"/>
    </row>
    <row r="18" spans="10:10" ht="11.25" x14ac:dyDescent="0.15">
      <c r="J18" s="4"/>
    </row>
  </sheetData>
  <mergeCells count="3">
    <mergeCell ref="B3:G3"/>
    <mergeCell ref="A4:H4"/>
    <mergeCell ref="B5:H5"/>
  </mergeCells>
  <printOptions horizontalCentered="1"/>
  <pageMargins left="0.25" right="0.25" top="0.5" bottom="0.5" header="0.3" footer="0.05"/>
  <pageSetup orientation="landscape" horizontalDpi="4294967292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L18"/>
  <sheetViews>
    <sheetView view="pageBreakPreview" zoomScaleSheetLayoutView="100" workbookViewId="0">
      <selection activeCell="I3" sqref="I3"/>
    </sheetView>
  </sheetViews>
  <sheetFormatPr defaultColWidth="9.140625" defaultRowHeight="15" x14ac:dyDescent="0.25"/>
  <cols>
    <col min="1" max="1" width="5.85546875" style="4" bestFit="1" customWidth="1"/>
    <col min="2" max="2" width="12.5703125" style="4" customWidth="1"/>
    <col min="3" max="3" width="32" style="4" customWidth="1"/>
    <col min="4" max="4" width="5" style="4" bestFit="1" customWidth="1"/>
    <col min="5" max="5" width="6.28515625" style="4" bestFit="1" customWidth="1"/>
    <col min="6" max="7" width="11.5703125" style="4" bestFit="1" customWidth="1"/>
    <col min="8" max="8" width="16.5703125" style="4" bestFit="1" customWidth="1"/>
    <col min="9" max="9" width="9.140625" style="1"/>
    <col min="11" max="11" width="13.28515625" style="4" bestFit="1" customWidth="1"/>
    <col min="12" max="16384" width="9.140625" style="4"/>
  </cols>
  <sheetData>
    <row r="1" spans="1:12" ht="25.5" x14ac:dyDescent="0.25">
      <c r="A1" s="95" t="s">
        <v>0</v>
      </c>
      <c r="B1" s="96" t="s">
        <v>5</v>
      </c>
      <c r="C1" s="96" t="s">
        <v>2</v>
      </c>
      <c r="D1" s="96" t="s">
        <v>3</v>
      </c>
      <c r="E1" s="96" t="s">
        <v>13</v>
      </c>
      <c r="F1" s="97" t="s">
        <v>11</v>
      </c>
      <c r="G1" s="97" t="s">
        <v>277</v>
      </c>
      <c r="H1" s="97" t="s">
        <v>12</v>
      </c>
      <c r="I1" s="40" t="s">
        <v>17</v>
      </c>
      <c r="K1" s="42" t="s">
        <v>10</v>
      </c>
      <c r="L1" s="4" t="s">
        <v>258</v>
      </c>
    </row>
    <row r="2" spans="1:12" s="59" customFormat="1" ht="102" x14ac:dyDescent="0.2">
      <c r="A2" s="51">
        <v>1</v>
      </c>
      <c r="B2" s="51" t="s">
        <v>269</v>
      </c>
      <c r="C2" s="63" t="s">
        <v>288</v>
      </c>
      <c r="D2" s="54" t="s">
        <v>109</v>
      </c>
      <c r="E2" s="51">
        <v>1</v>
      </c>
      <c r="F2" s="55">
        <f>80*1.3*I2</f>
        <v>31200</v>
      </c>
      <c r="G2" s="55">
        <f>F2*18%</f>
        <v>5616</v>
      </c>
      <c r="H2" s="56">
        <f>E2*(F2+G2)</f>
        <v>36816</v>
      </c>
      <c r="I2" s="89">
        <v>300</v>
      </c>
      <c r="K2" s="94">
        <v>260</v>
      </c>
    </row>
    <row r="3" spans="1:12" ht="12.75" x14ac:dyDescent="0.15">
      <c r="A3" s="98">
        <v>2</v>
      </c>
      <c r="B3" s="337" t="s">
        <v>7</v>
      </c>
      <c r="C3" s="337"/>
      <c r="D3" s="337"/>
      <c r="E3" s="337"/>
      <c r="F3" s="337"/>
      <c r="G3" s="337"/>
      <c r="H3" s="57">
        <f>SUM(H2:H2)</f>
        <v>36816</v>
      </c>
      <c r="I3" s="46"/>
      <c r="J3" s="4"/>
      <c r="K3" s="47"/>
    </row>
    <row r="4" spans="1:12" ht="12.75" x14ac:dyDescent="0.15">
      <c r="A4" s="344"/>
      <c r="B4" s="345"/>
      <c r="C4" s="345"/>
      <c r="D4" s="345"/>
      <c r="E4" s="345"/>
      <c r="F4" s="345"/>
      <c r="G4" s="345"/>
      <c r="H4" s="346"/>
      <c r="J4" s="4"/>
    </row>
    <row r="5" spans="1:12" ht="140.25" x14ac:dyDescent="0.15">
      <c r="A5" s="58" t="s">
        <v>9</v>
      </c>
      <c r="B5" s="335" t="s">
        <v>265</v>
      </c>
      <c r="C5" s="335"/>
      <c r="D5" s="335"/>
      <c r="E5" s="335"/>
      <c r="F5" s="335"/>
      <c r="G5" s="335"/>
      <c r="H5" s="336"/>
      <c r="J5" s="4"/>
    </row>
    <row r="6" spans="1:12" ht="12.75" x14ac:dyDescent="0.2">
      <c r="A6" s="59"/>
      <c r="B6" s="59"/>
      <c r="C6" s="59"/>
      <c r="D6" s="59"/>
      <c r="E6" s="59"/>
      <c r="F6" s="59"/>
      <c r="G6" s="59"/>
      <c r="H6" s="59"/>
      <c r="J6" s="4"/>
    </row>
    <row r="7" spans="1:12" ht="12.75" x14ac:dyDescent="0.2">
      <c r="A7" s="59"/>
      <c r="B7" s="59"/>
      <c r="C7" s="59"/>
      <c r="D7" s="59"/>
      <c r="E7" s="59"/>
      <c r="F7" s="59"/>
      <c r="G7" s="59"/>
      <c r="H7" s="59"/>
      <c r="J7" s="4"/>
    </row>
    <row r="8" spans="1:12" ht="12.75" x14ac:dyDescent="0.2">
      <c r="A8" s="59"/>
      <c r="B8" s="59"/>
      <c r="C8" s="59"/>
      <c r="D8" s="59"/>
      <c r="E8" s="59"/>
      <c r="F8" s="59"/>
      <c r="G8" s="59"/>
      <c r="H8" s="59"/>
      <c r="J8" s="4"/>
    </row>
    <row r="9" spans="1:12" ht="12.75" x14ac:dyDescent="0.2">
      <c r="A9" s="59"/>
      <c r="B9" s="59"/>
      <c r="C9" s="59"/>
      <c r="D9" s="59"/>
      <c r="E9" s="59"/>
      <c r="F9" s="59"/>
      <c r="G9" s="59"/>
      <c r="H9" s="59"/>
      <c r="J9" s="4"/>
    </row>
    <row r="10" spans="1:12" ht="12.75" x14ac:dyDescent="0.2">
      <c r="A10" s="59"/>
      <c r="B10" s="59"/>
      <c r="C10" s="59"/>
      <c r="D10" s="59"/>
      <c r="E10" s="59"/>
      <c r="F10" s="59"/>
      <c r="G10" s="59"/>
      <c r="H10" s="59"/>
      <c r="J10" s="4"/>
    </row>
    <row r="11" spans="1:12" ht="12.75" x14ac:dyDescent="0.2">
      <c r="A11" s="59"/>
      <c r="B11" s="59"/>
      <c r="C11" s="59"/>
      <c r="D11" s="59"/>
      <c r="E11" s="59"/>
      <c r="F11" s="59"/>
      <c r="G11" s="59"/>
      <c r="H11" s="59"/>
      <c r="J11" s="4"/>
    </row>
    <row r="12" spans="1:12" s="1" customFormat="1" ht="12.75" x14ac:dyDescent="0.2">
      <c r="A12" s="59"/>
      <c r="B12" s="59"/>
      <c r="C12" s="59"/>
      <c r="D12" s="59"/>
      <c r="E12" s="59"/>
      <c r="F12" s="59"/>
      <c r="G12" s="59"/>
      <c r="H12" s="59"/>
      <c r="K12" s="4"/>
    </row>
    <row r="13" spans="1:12" ht="11.25" x14ac:dyDescent="0.15">
      <c r="J13" s="4"/>
    </row>
    <row r="14" spans="1:12" ht="11.25" x14ac:dyDescent="0.15">
      <c r="J14" s="4"/>
    </row>
    <row r="15" spans="1:12" ht="11.25" x14ac:dyDescent="0.15">
      <c r="J15" s="4"/>
    </row>
    <row r="16" spans="1:12" ht="11.25" x14ac:dyDescent="0.15">
      <c r="J16" s="4"/>
    </row>
    <row r="17" spans="10:10" ht="11.25" x14ac:dyDescent="0.15">
      <c r="J17" s="4"/>
    </row>
    <row r="18" spans="10:10" ht="11.25" x14ac:dyDescent="0.15">
      <c r="J18" s="4"/>
    </row>
  </sheetData>
  <mergeCells count="3">
    <mergeCell ref="B3:G3"/>
    <mergeCell ref="A4:H4"/>
    <mergeCell ref="B5:H5"/>
  </mergeCells>
  <printOptions horizontalCentered="1"/>
  <pageMargins left="0.25" right="0.25" top="0.5" bottom="0.5" header="0.3" footer="0.05"/>
  <pageSetup orientation="landscape" horizontalDpi="4294967292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L18"/>
  <sheetViews>
    <sheetView view="pageBreakPreview" zoomScaleSheetLayoutView="100" workbookViewId="0">
      <selection activeCell="F2" sqref="F2"/>
    </sheetView>
  </sheetViews>
  <sheetFormatPr defaultColWidth="9.140625" defaultRowHeight="15" x14ac:dyDescent="0.25"/>
  <cols>
    <col min="1" max="1" width="5.85546875" style="4" bestFit="1" customWidth="1"/>
    <col min="2" max="2" width="12.5703125" style="4" customWidth="1"/>
    <col min="3" max="3" width="32" style="4" customWidth="1"/>
    <col min="4" max="4" width="5" style="4" bestFit="1" customWidth="1"/>
    <col min="5" max="5" width="6.28515625" style="4" bestFit="1" customWidth="1"/>
    <col min="6" max="7" width="11.5703125" style="4" bestFit="1" customWidth="1"/>
    <col min="8" max="8" width="16.5703125" style="4" bestFit="1" customWidth="1"/>
    <col min="9" max="9" width="9.140625" style="1"/>
    <col min="11" max="11" width="13.28515625" style="4" bestFit="1" customWidth="1"/>
    <col min="12" max="16384" width="9.140625" style="4"/>
  </cols>
  <sheetData>
    <row r="1" spans="1:12" ht="25.5" x14ac:dyDescent="0.25">
      <c r="A1" s="95" t="s">
        <v>0</v>
      </c>
      <c r="B1" s="96" t="s">
        <v>5</v>
      </c>
      <c r="C1" s="96" t="s">
        <v>2</v>
      </c>
      <c r="D1" s="96" t="s">
        <v>3</v>
      </c>
      <c r="E1" s="96" t="s">
        <v>13</v>
      </c>
      <c r="F1" s="97" t="s">
        <v>11</v>
      </c>
      <c r="G1" s="97" t="s">
        <v>277</v>
      </c>
      <c r="H1" s="97" t="s">
        <v>12</v>
      </c>
      <c r="I1" s="40" t="s">
        <v>17</v>
      </c>
      <c r="K1" s="42" t="s">
        <v>10</v>
      </c>
      <c r="L1" s="4" t="s">
        <v>258</v>
      </c>
    </row>
    <row r="2" spans="1:12" s="59" customFormat="1" ht="102" x14ac:dyDescent="0.2">
      <c r="A2" s="51">
        <v>1</v>
      </c>
      <c r="B2" s="51" t="s">
        <v>269</v>
      </c>
      <c r="C2" s="63" t="s">
        <v>289</v>
      </c>
      <c r="D2" s="54" t="s">
        <v>109</v>
      </c>
      <c r="E2" s="51">
        <v>1</v>
      </c>
      <c r="F2" s="55">
        <f>80*1.3*I2</f>
        <v>124800</v>
      </c>
      <c r="G2" s="55">
        <f>F2*18%</f>
        <v>22464</v>
      </c>
      <c r="H2" s="56">
        <f>E2*(F2+G2)</f>
        <v>147264</v>
      </c>
      <c r="I2" s="89">
        <v>1200</v>
      </c>
      <c r="K2" s="94">
        <v>1100</v>
      </c>
    </row>
    <row r="3" spans="1:12" ht="12.75" x14ac:dyDescent="0.15">
      <c r="A3" s="98">
        <v>2</v>
      </c>
      <c r="B3" s="337" t="s">
        <v>7</v>
      </c>
      <c r="C3" s="337"/>
      <c r="D3" s="337"/>
      <c r="E3" s="337"/>
      <c r="F3" s="337"/>
      <c r="G3" s="337"/>
      <c r="H3" s="57">
        <f>SUM(H2:H2)</f>
        <v>147264</v>
      </c>
      <c r="I3" s="46"/>
      <c r="J3" s="4"/>
      <c r="K3" s="47"/>
    </row>
    <row r="4" spans="1:12" ht="12.75" x14ac:dyDescent="0.15">
      <c r="A4" s="344"/>
      <c r="B4" s="345"/>
      <c r="C4" s="345"/>
      <c r="D4" s="345"/>
      <c r="E4" s="345"/>
      <c r="F4" s="345"/>
      <c r="G4" s="345"/>
      <c r="H4" s="346"/>
      <c r="J4" s="4"/>
    </row>
    <row r="5" spans="1:12" ht="140.25" x14ac:dyDescent="0.15">
      <c r="A5" s="58" t="s">
        <v>9</v>
      </c>
      <c r="B5" s="335" t="s">
        <v>265</v>
      </c>
      <c r="C5" s="335"/>
      <c r="D5" s="335"/>
      <c r="E5" s="335"/>
      <c r="F5" s="335"/>
      <c r="G5" s="335"/>
      <c r="H5" s="336"/>
      <c r="J5" s="4"/>
    </row>
    <row r="6" spans="1:12" ht="12.75" x14ac:dyDescent="0.2">
      <c r="A6" s="59"/>
      <c r="B6" s="59"/>
      <c r="C6" s="59"/>
      <c r="D6" s="59"/>
      <c r="E6" s="59"/>
      <c r="F6" s="59"/>
      <c r="G6" s="59"/>
      <c r="H6" s="59"/>
      <c r="J6" s="4"/>
    </row>
    <row r="7" spans="1:12" ht="12.75" x14ac:dyDescent="0.2">
      <c r="A7" s="59"/>
      <c r="B7" s="59"/>
      <c r="C7" s="59"/>
      <c r="D7" s="59"/>
      <c r="E7" s="59"/>
      <c r="F7" s="59"/>
      <c r="G7" s="59"/>
      <c r="H7" s="59"/>
      <c r="J7" s="4"/>
    </row>
    <row r="8" spans="1:12" ht="12.75" x14ac:dyDescent="0.2">
      <c r="A8" s="59"/>
      <c r="B8" s="59"/>
      <c r="C8" s="59"/>
      <c r="D8" s="59"/>
      <c r="E8" s="59"/>
      <c r="F8" s="59"/>
      <c r="G8" s="59"/>
      <c r="H8" s="59"/>
      <c r="J8" s="4"/>
    </row>
    <row r="9" spans="1:12" ht="12.75" x14ac:dyDescent="0.2">
      <c r="A9" s="59"/>
      <c r="B9" s="59"/>
      <c r="C9" s="59"/>
      <c r="D9" s="59"/>
      <c r="E9" s="59"/>
      <c r="F9" s="59"/>
      <c r="G9" s="59"/>
      <c r="H9" s="59"/>
      <c r="J9" s="4"/>
    </row>
    <row r="10" spans="1:12" ht="12.75" x14ac:dyDescent="0.2">
      <c r="A10" s="59"/>
      <c r="B10" s="59"/>
      <c r="C10" s="59"/>
      <c r="D10" s="59"/>
      <c r="E10" s="59"/>
      <c r="F10" s="59"/>
      <c r="G10" s="59"/>
      <c r="H10" s="59"/>
      <c r="J10" s="4"/>
    </row>
    <row r="11" spans="1:12" ht="12.75" x14ac:dyDescent="0.2">
      <c r="A11" s="59"/>
      <c r="B11" s="59"/>
      <c r="C11" s="59"/>
      <c r="D11" s="59"/>
      <c r="E11" s="59"/>
      <c r="F11" s="59"/>
      <c r="G11" s="59"/>
      <c r="H11" s="59"/>
      <c r="J11" s="4"/>
    </row>
    <row r="12" spans="1:12" s="1" customFormat="1" ht="12.75" x14ac:dyDescent="0.2">
      <c r="A12" s="59"/>
      <c r="B12" s="59"/>
      <c r="C12" s="59"/>
      <c r="D12" s="59"/>
      <c r="E12" s="59"/>
      <c r="F12" s="59"/>
      <c r="G12" s="59"/>
      <c r="H12" s="59"/>
      <c r="K12" s="4"/>
    </row>
    <row r="13" spans="1:12" ht="11.25" x14ac:dyDescent="0.15">
      <c r="J13" s="4"/>
    </row>
    <row r="14" spans="1:12" ht="11.25" x14ac:dyDescent="0.15">
      <c r="J14" s="4"/>
    </row>
    <row r="15" spans="1:12" ht="11.25" x14ac:dyDescent="0.15">
      <c r="J15" s="4"/>
    </row>
    <row r="16" spans="1:12" ht="11.25" x14ac:dyDescent="0.15">
      <c r="J16" s="4"/>
    </row>
    <row r="17" spans="10:10" ht="11.25" x14ac:dyDescent="0.15">
      <c r="J17" s="4"/>
    </row>
    <row r="18" spans="10:10" ht="11.25" x14ac:dyDescent="0.15">
      <c r="J18" s="4"/>
    </row>
  </sheetData>
  <mergeCells count="3">
    <mergeCell ref="B3:G3"/>
    <mergeCell ref="A4:H4"/>
    <mergeCell ref="B5:H5"/>
  </mergeCells>
  <printOptions horizontalCentered="1"/>
  <pageMargins left="0.25" right="0.25" top="0.5" bottom="0.5" header="0.3" footer="0.05"/>
  <pageSetup orientation="landscape" horizontalDpi="4294967292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L18"/>
  <sheetViews>
    <sheetView view="pageBreakPreview" zoomScaleSheetLayoutView="100" workbookViewId="0">
      <selection sqref="A1:H5"/>
    </sheetView>
  </sheetViews>
  <sheetFormatPr defaultColWidth="9.140625" defaultRowHeight="15" x14ac:dyDescent="0.25"/>
  <cols>
    <col min="1" max="1" width="5.85546875" style="4" bestFit="1" customWidth="1"/>
    <col min="2" max="2" width="12.5703125" style="4" customWidth="1"/>
    <col min="3" max="3" width="32" style="4" customWidth="1"/>
    <col min="4" max="4" width="5" style="4" bestFit="1" customWidth="1"/>
    <col min="5" max="5" width="6.28515625" style="4" bestFit="1" customWidth="1"/>
    <col min="6" max="7" width="11.5703125" style="4" bestFit="1" customWidth="1"/>
    <col min="8" max="8" width="16.5703125" style="4" bestFit="1" customWidth="1"/>
    <col min="9" max="9" width="9.140625" style="1"/>
    <col min="11" max="11" width="13.28515625" style="4" bestFit="1" customWidth="1"/>
    <col min="12" max="16384" width="9.140625" style="4"/>
  </cols>
  <sheetData>
    <row r="1" spans="1:12" ht="25.5" x14ac:dyDescent="0.25">
      <c r="A1" s="95" t="s">
        <v>0</v>
      </c>
      <c r="B1" s="96" t="s">
        <v>5</v>
      </c>
      <c r="C1" s="96" t="s">
        <v>2</v>
      </c>
      <c r="D1" s="96" t="s">
        <v>3</v>
      </c>
      <c r="E1" s="96" t="s">
        <v>13</v>
      </c>
      <c r="F1" s="97" t="s">
        <v>11</v>
      </c>
      <c r="G1" s="97" t="s">
        <v>277</v>
      </c>
      <c r="H1" s="97" t="s">
        <v>12</v>
      </c>
      <c r="I1" s="40" t="s">
        <v>17</v>
      </c>
      <c r="K1" s="42" t="s">
        <v>10</v>
      </c>
      <c r="L1" s="4" t="s">
        <v>258</v>
      </c>
    </row>
    <row r="2" spans="1:12" s="59" customFormat="1" ht="38.25" x14ac:dyDescent="0.2">
      <c r="A2" s="51">
        <v>1</v>
      </c>
      <c r="B2" s="51">
        <v>5209000183</v>
      </c>
      <c r="C2" s="63" t="s">
        <v>290</v>
      </c>
      <c r="D2" s="54" t="s">
        <v>109</v>
      </c>
      <c r="E2" s="51">
        <v>4</v>
      </c>
      <c r="F2" s="55">
        <f>80*1.3*I2</f>
        <v>6552</v>
      </c>
      <c r="G2" s="55">
        <f>F2*18%</f>
        <v>1179.3599999999999</v>
      </c>
      <c r="H2" s="56">
        <f>E2*(F2+G2)</f>
        <v>30925.439999999999</v>
      </c>
      <c r="I2" s="89">
        <v>63</v>
      </c>
      <c r="K2" s="94">
        <v>43</v>
      </c>
    </row>
    <row r="3" spans="1:12" ht="12.75" x14ac:dyDescent="0.15">
      <c r="A3" s="98">
        <v>2</v>
      </c>
      <c r="B3" s="337" t="s">
        <v>7</v>
      </c>
      <c r="C3" s="337"/>
      <c r="D3" s="337"/>
      <c r="E3" s="337"/>
      <c r="F3" s="337"/>
      <c r="G3" s="337"/>
      <c r="H3" s="57">
        <f>SUM(H2:H2)</f>
        <v>30925.439999999999</v>
      </c>
      <c r="I3" s="46"/>
      <c r="J3" s="4"/>
      <c r="K3" s="47"/>
    </row>
    <row r="4" spans="1:12" ht="12.75" x14ac:dyDescent="0.15">
      <c r="A4" s="344"/>
      <c r="B4" s="345"/>
      <c r="C4" s="345"/>
      <c r="D4" s="345"/>
      <c r="E4" s="345"/>
      <c r="F4" s="345"/>
      <c r="G4" s="345"/>
      <c r="H4" s="346"/>
      <c r="J4" s="4"/>
    </row>
    <row r="5" spans="1:12" ht="140.25" x14ac:dyDescent="0.15">
      <c r="A5" s="58" t="s">
        <v>9</v>
      </c>
      <c r="B5" s="335" t="s">
        <v>265</v>
      </c>
      <c r="C5" s="335"/>
      <c r="D5" s="335"/>
      <c r="E5" s="335"/>
      <c r="F5" s="335"/>
      <c r="G5" s="335"/>
      <c r="H5" s="336"/>
      <c r="J5" s="4"/>
    </row>
    <row r="6" spans="1:12" ht="12.75" x14ac:dyDescent="0.2">
      <c r="A6" s="59"/>
      <c r="B6" s="59"/>
      <c r="C6" s="59"/>
      <c r="D6" s="59"/>
      <c r="E6" s="59"/>
      <c r="F6" s="59"/>
      <c r="G6" s="59"/>
      <c r="H6" s="59"/>
      <c r="J6" s="4"/>
    </row>
    <row r="7" spans="1:12" ht="12.75" x14ac:dyDescent="0.2">
      <c r="A7" s="59"/>
      <c r="B7" s="59"/>
      <c r="C7" s="59"/>
      <c r="D7" s="59"/>
      <c r="E7" s="59"/>
      <c r="F7" s="59"/>
      <c r="G7" s="59"/>
      <c r="H7" s="59"/>
      <c r="J7" s="4"/>
    </row>
    <row r="8" spans="1:12" ht="12.75" x14ac:dyDescent="0.2">
      <c r="A8" s="59"/>
      <c r="B8" s="59"/>
      <c r="C8" s="59"/>
      <c r="D8" s="59"/>
      <c r="E8" s="59"/>
      <c r="F8" s="59"/>
      <c r="G8" s="59"/>
      <c r="H8" s="59"/>
      <c r="J8" s="4"/>
    </row>
    <row r="9" spans="1:12" ht="12.75" x14ac:dyDescent="0.2">
      <c r="A9" s="59"/>
      <c r="B9" s="59"/>
      <c r="C9" s="59"/>
      <c r="D9" s="59"/>
      <c r="E9" s="59"/>
      <c r="F9" s="59"/>
      <c r="G9" s="59"/>
      <c r="H9" s="59"/>
      <c r="J9" s="4"/>
    </row>
    <row r="10" spans="1:12" ht="12.75" x14ac:dyDescent="0.2">
      <c r="A10" s="59"/>
      <c r="B10" s="59"/>
      <c r="C10" s="59"/>
      <c r="D10" s="59"/>
      <c r="E10" s="59"/>
      <c r="F10" s="59"/>
      <c r="G10" s="59"/>
      <c r="H10" s="59"/>
      <c r="J10" s="4"/>
    </row>
    <row r="11" spans="1:12" ht="12.75" x14ac:dyDescent="0.2">
      <c r="A11" s="59"/>
      <c r="B11" s="59"/>
      <c r="C11" s="59"/>
      <c r="D11" s="59"/>
      <c r="E11" s="59"/>
      <c r="F11" s="59"/>
      <c r="G11" s="59"/>
      <c r="H11" s="59"/>
      <c r="J11" s="4"/>
    </row>
    <row r="12" spans="1:12" s="1" customFormat="1" ht="12.75" x14ac:dyDescent="0.2">
      <c r="A12" s="59"/>
      <c r="B12" s="59"/>
      <c r="C12" s="59"/>
      <c r="D12" s="59"/>
      <c r="E12" s="59"/>
      <c r="F12" s="59"/>
      <c r="G12" s="59"/>
      <c r="H12" s="59"/>
      <c r="K12" s="4"/>
    </row>
    <row r="13" spans="1:12" ht="11.25" x14ac:dyDescent="0.15">
      <c r="J13" s="4"/>
    </row>
    <row r="14" spans="1:12" ht="11.25" x14ac:dyDescent="0.15">
      <c r="J14" s="4"/>
    </row>
    <row r="15" spans="1:12" ht="11.25" x14ac:dyDescent="0.15">
      <c r="J15" s="4"/>
    </row>
    <row r="16" spans="1:12" ht="11.25" x14ac:dyDescent="0.15">
      <c r="J16" s="4"/>
    </row>
    <row r="17" spans="10:10" ht="11.25" x14ac:dyDescent="0.15">
      <c r="J17" s="4"/>
    </row>
    <row r="18" spans="10:10" ht="11.25" x14ac:dyDescent="0.15">
      <c r="J18" s="4"/>
    </row>
  </sheetData>
  <mergeCells count="3">
    <mergeCell ref="B3:G3"/>
    <mergeCell ref="A4:H4"/>
    <mergeCell ref="B5:H5"/>
  </mergeCells>
  <printOptions horizontalCentered="1"/>
  <pageMargins left="0.25" right="0.25" top="0.5" bottom="0.5" header="0.3" footer="0.05"/>
  <pageSetup orientation="landscape" horizontalDpi="4294967292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M29"/>
  <sheetViews>
    <sheetView view="pageBreakPreview" topLeftCell="A8" zoomScale="115" zoomScaleSheetLayoutView="115" workbookViewId="0">
      <selection activeCell="D11" sqref="D11"/>
    </sheetView>
  </sheetViews>
  <sheetFormatPr defaultColWidth="9.140625" defaultRowHeight="15" x14ac:dyDescent="0.25"/>
  <cols>
    <col min="1" max="1" width="5.85546875" style="4" bestFit="1" customWidth="1"/>
    <col min="2" max="3" width="12.5703125" style="4" customWidth="1"/>
    <col min="4" max="4" width="32" style="4" customWidth="1"/>
    <col min="5" max="5" width="5" style="4" bestFit="1" customWidth="1"/>
    <col min="6" max="6" width="6.28515625" style="4" bestFit="1" customWidth="1"/>
    <col min="7" max="8" width="11.5703125" style="4" bestFit="1" customWidth="1"/>
    <col min="9" max="9" width="16.5703125" style="4" bestFit="1" customWidth="1"/>
    <col min="10" max="10" width="9.140625" style="1"/>
    <col min="12" max="12" width="13.28515625" style="4" bestFit="1" customWidth="1"/>
    <col min="13" max="16384" width="9.140625" style="4"/>
  </cols>
  <sheetData>
    <row r="1" spans="1:13" ht="25.5" x14ac:dyDescent="0.25">
      <c r="A1" s="95" t="s">
        <v>0</v>
      </c>
      <c r="B1" s="96" t="s">
        <v>1</v>
      </c>
      <c r="C1" s="96" t="s">
        <v>5</v>
      </c>
      <c r="D1" s="96" t="s">
        <v>2</v>
      </c>
      <c r="E1" s="96" t="s">
        <v>3</v>
      </c>
      <c r="F1" s="96" t="s">
        <v>13</v>
      </c>
      <c r="G1" s="97" t="s">
        <v>11</v>
      </c>
      <c r="H1" s="97" t="s">
        <v>303</v>
      </c>
      <c r="I1" s="97" t="s">
        <v>12</v>
      </c>
      <c r="J1" s="40" t="s">
        <v>17</v>
      </c>
      <c r="L1" s="42" t="s">
        <v>10</v>
      </c>
      <c r="M1" s="4" t="s">
        <v>258</v>
      </c>
    </row>
    <row r="2" spans="1:13" s="59" customFormat="1" ht="25.5" x14ac:dyDescent="0.2">
      <c r="A2" s="51">
        <v>1</v>
      </c>
      <c r="B2" s="51" t="s">
        <v>292</v>
      </c>
      <c r="C2" s="51">
        <v>3009000036</v>
      </c>
      <c r="D2" s="63" t="s">
        <v>291</v>
      </c>
      <c r="E2" s="54" t="s">
        <v>109</v>
      </c>
      <c r="F2" s="51">
        <v>2</v>
      </c>
      <c r="G2" s="55">
        <f>82*1.33*J2</f>
        <v>109060</v>
      </c>
      <c r="H2" s="55">
        <f t="shared" ref="H2:H13" si="0">G2*18%</f>
        <v>19630.8</v>
      </c>
      <c r="I2" s="56">
        <f t="shared" ref="I2:I13" si="1">F2*(G2+H2)</f>
        <v>257381.6</v>
      </c>
      <c r="J2" s="89">
        <v>1000</v>
      </c>
      <c r="L2" s="94">
        <v>695</v>
      </c>
    </row>
    <row r="3" spans="1:13" s="59" customFormat="1" ht="38.25" x14ac:dyDescent="0.2">
      <c r="A3" s="51">
        <v>2</v>
      </c>
      <c r="B3" s="51" t="s">
        <v>292</v>
      </c>
      <c r="C3" s="51">
        <v>5101000005</v>
      </c>
      <c r="D3" s="63" t="s">
        <v>293</v>
      </c>
      <c r="E3" s="54" t="s">
        <v>109</v>
      </c>
      <c r="F3" s="51">
        <v>5</v>
      </c>
      <c r="G3" s="103" t="s">
        <v>304</v>
      </c>
      <c r="H3" s="55">
        <v>0</v>
      </c>
      <c r="I3" s="56">
        <v>0</v>
      </c>
      <c r="J3" s="89"/>
      <c r="L3" s="94"/>
    </row>
    <row r="4" spans="1:13" s="59" customFormat="1" ht="38.25" x14ac:dyDescent="0.2">
      <c r="A4" s="51">
        <v>3</v>
      </c>
      <c r="B4" s="51" t="s">
        <v>292</v>
      </c>
      <c r="C4" s="51">
        <v>5101000006</v>
      </c>
      <c r="D4" s="63" t="s">
        <v>294</v>
      </c>
      <c r="E4" s="54" t="s">
        <v>109</v>
      </c>
      <c r="F4" s="51">
        <v>5</v>
      </c>
      <c r="G4" s="103" t="s">
        <v>304</v>
      </c>
      <c r="H4" s="55">
        <v>0</v>
      </c>
      <c r="I4" s="56">
        <v>0</v>
      </c>
      <c r="J4" s="89"/>
      <c r="L4" s="94"/>
    </row>
    <row r="5" spans="1:13" s="59" customFormat="1" ht="38.25" x14ac:dyDescent="0.2">
      <c r="A5" s="51">
        <v>4</v>
      </c>
      <c r="B5" s="51" t="s">
        <v>292</v>
      </c>
      <c r="C5" s="51">
        <v>5101000007</v>
      </c>
      <c r="D5" s="63" t="s">
        <v>295</v>
      </c>
      <c r="E5" s="54" t="s">
        <v>109</v>
      </c>
      <c r="F5" s="51">
        <v>5</v>
      </c>
      <c r="G5" s="103" t="s">
        <v>304</v>
      </c>
      <c r="H5" s="55">
        <v>0</v>
      </c>
      <c r="I5" s="56">
        <v>0</v>
      </c>
      <c r="J5" s="89"/>
      <c r="L5" s="94"/>
    </row>
    <row r="6" spans="1:13" s="59" customFormat="1" ht="38.25" x14ac:dyDescent="0.2">
      <c r="A6" s="51">
        <v>5</v>
      </c>
      <c r="B6" s="51" t="s">
        <v>292</v>
      </c>
      <c r="C6" s="51">
        <v>5101000008</v>
      </c>
      <c r="D6" s="63" t="s">
        <v>296</v>
      </c>
      <c r="E6" s="54" t="s">
        <v>109</v>
      </c>
      <c r="F6" s="51">
        <v>5</v>
      </c>
      <c r="G6" s="103" t="s">
        <v>304</v>
      </c>
      <c r="H6" s="55">
        <v>0</v>
      </c>
      <c r="I6" s="56">
        <v>0</v>
      </c>
      <c r="J6" s="89"/>
      <c r="L6" s="94"/>
    </row>
    <row r="7" spans="1:13" s="59" customFormat="1" ht="38.25" x14ac:dyDescent="0.2">
      <c r="A7" s="51">
        <v>6</v>
      </c>
      <c r="B7" s="51" t="s">
        <v>292</v>
      </c>
      <c r="C7" s="51">
        <v>5101000009</v>
      </c>
      <c r="D7" s="63" t="s">
        <v>297</v>
      </c>
      <c r="E7" s="54" t="s">
        <v>109</v>
      </c>
      <c r="F7" s="51">
        <v>5</v>
      </c>
      <c r="G7" s="103" t="s">
        <v>304</v>
      </c>
      <c r="H7" s="55">
        <v>0</v>
      </c>
      <c r="I7" s="56">
        <v>0</v>
      </c>
      <c r="J7" s="89"/>
      <c r="L7" s="94"/>
    </row>
    <row r="8" spans="1:13" s="59" customFormat="1" ht="38.25" x14ac:dyDescent="0.2">
      <c r="A8" s="51">
        <v>7</v>
      </c>
      <c r="B8" s="51" t="s">
        <v>292</v>
      </c>
      <c r="C8" s="51">
        <v>5101000010</v>
      </c>
      <c r="D8" s="63" t="s">
        <v>298</v>
      </c>
      <c r="E8" s="54" t="s">
        <v>109</v>
      </c>
      <c r="F8" s="51">
        <v>5</v>
      </c>
      <c r="G8" s="103" t="s">
        <v>304</v>
      </c>
      <c r="H8" s="55">
        <v>0</v>
      </c>
      <c r="I8" s="56">
        <v>0</v>
      </c>
      <c r="J8" s="89"/>
      <c r="L8" s="94"/>
    </row>
    <row r="9" spans="1:13" s="59" customFormat="1" ht="25.5" x14ac:dyDescent="0.2">
      <c r="A9" s="51">
        <v>8</v>
      </c>
      <c r="B9" s="51" t="s">
        <v>292</v>
      </c>
      <c r="C9" s="51">
        <v>5102000018</v>
      </c>
      <c r="D9" s="63" t="s">
        <v>299</v>
      </c>
      <c r="E9" s="54" t="s">
        <v>109</v>
      </c>
      <c r="F9" s="51">
        <v>4</v>
      </c>
      <c r="G9" s="55">
        <f>88*1.33*J9</f>
        <v>36867.599999999999</v>
      </c>
      <c r="H9" s="55">
        <f t="shared" si="0"/>
        <v>6636.1679999999997</v>
      </c>
      <c r="I9" s="56">
        <f t="shared" si="1"/>
        <v>174015.07199999999</v>
      </c>
      <c r="J9" s="89">
        <v>315</v>
      </c>
      <c r="L9" s="94">
        <v>285</v>
      </c>
    </row>
    <row r="10" spans="1:13" s="59" customFormat="1" ht="38.25" x14ac:dyDescent="0.2">
      <c r="A10" s="51">
        <v>9</v>
      </c>
      <c r="B10" s="51" t="s">
        <v>292</v>
      </c>
      <c r="C10" s="51">
        <v>5002990026</v>
      </c>
      <c r="D10" s="63" t="s">
        <v>246</v>
      </c>
      <c r="E10" s="54" t="s">
        <v>109</v>
      </c>
      <c r="F10" s="51">
        <v>10</v>
      </c>
      <c r="G10" s="55">
        <f t="shared" ref="G10:G13" si="2">88*1.33*J10</f>
        <v>12289.2</v>
      </c>
      <c r="H10" s="55">
        <f t="shared" si="0"/>
        <v>2212.056</v>
      </c>
      <c r="I10" s="56">
        <f t="shared" si="1"/>
        <v>145012.56</v>
      </c>
      <c r="J10" s="89">
        <v>105</v>
      </c>
      <c r="L10" s="94">
        <v>105</v>
      </c>
    </row>
    <row r="11" spans="1:13" s="59" customFormat="1" ht="38.25" x14ac:dyDescent="0.2">
      <c r="A11" s="51">
        <v>10</v>
      </c>
      <c r="B11" s="51" t="s">
        <v>292</v>
      </c>
      <c r="C11" s="51">
        <v>5301000001</v>
      </c>
      <c r="D11" s="63" t="s">
        <v>214</v>
      </c>
      <c r="E11" s="54" t="s">
        <v>109</v>
      </c>
      <c r="F11" s="51">
        <v>20</v>
      </c>
      <c r="G11" s="55">
        <f t="shared" si="2"/>
        <v>3277.1200000000003</v>
      </c>
      <c r="H11" s="55">
        <f t="shared" si="0"/>
        <v>589.88160000000005</v>
      </c>
      <c r="I11" s="56">
        <f t="shared" si="1"/>
        <v>77340.032000000007</v>
      </c>
      <c r="J11" s="89">
        <v>28</v>
      </c>
      <c r="L11" s="94">
        <v>18</v>
      </c>
    </row>
    <row r="12" spans="1:13" s="59" customFormat="1" ht="38.25" x14ac:dyDescent="0.2">
      <c r="A12" s="51">
        <v>11</v>
      </c>
      <c r="B12" s="51" t="s">
        <v>292</v>
      </c>
      <c r="C12" s="51">
        <v>5209000243</v>
      </c>
      <c r="D12" s="63" t="s">
        <v>300</v>
      </c>
      <c r="E12" s="54" t="s">
        <v>109</v>
      </c>
      <c r="F12" s="51">
        <v>15</v>
      </c>
      <c r="G12" s="55">
        <f t="shared" si="2"/>
        <v>2574.88</v>
      </c>
      <c r="H12" s="55">
        <f t="shared" si="0"/>
        <v>463.47840000000002</v>
      </c>
      <c r="I12" s="56">
        <f t="shared" si="1"/>
        <v>45575.376000000004</v>
      </c>
      <c r="J12" s="89">
        <v>22</v>
      </c>
      <c r="L12" s="94">
        <v>12</v>
      </c>
    </row>
    <row r="13" spans="1:13" s="59" customFormat="1" ht="153" x14ac:dyDescent="0.2">
      <c r="A13" s="51">
        <v>12</v>
      </c>
      <c r="B13" s="51" t="s">
        <v>302</v>
      </c>
      <c r="C13" s="51">
        <v>5205000024</v>
      </c>
      <c r="D13" s="63" t="s">
        <v>301</v>
      </c>
      <c r="E13" s="54" t="s">
        <v>109</v>
      </c>
      <c r="F13" s="51">
        <v>2</v>
      </c>
      <c r="G13" s="55">
        <f t="shared" si="2"/>
        <v>6905.3600000000006</v>
      </c>
      <c r="H13" s="55">
        <f t="shared" si="0"/>
        <v>1242.9648</v>
      </c>
      <c r="I13" s="56">
        <f t="shared" si="1"/>
        <v>16296.649600000001</v>
      </c>
      <c r="J13" s="89">
        <v>59</v>
      </c>
      <c r="L13" s="94">
        <v>49</v>
      </c>
    </row>
    <row r="14" spans="1:13" ht="12.75" x14ac:dyDescent="0.15">
      <c r="A14" s="51">
        <v>13</v>
      </c>
      <c r="B14" s="337" t="s">
        <v>7</v>
      </c>
      <c r="C14" s="337"/>
      <c r="D14" s="337"/>
      <c r="E14" s="337"/>
      <c r="F14" s="337"/>
      <c r="G14" s="337"/>
      <c r="H14" s="337"/>
      <c r="I14" s="57">
        <f>SUM(I2:I13)</f>
        <v>715621.28960000013</v>
      </c>
      <c r="J14" s="46"/>
      <c r="K14" s="4"/>
      <c r="L14" s="47"/>
    </row>
    <row r="15" spans="1:13" ht="12.75" x14ac:dyDescent="0.15">
      <c r="A15" s="344"/>
      <c r="B15" s="345"/>
      <c r="C15" s="345"/>
      <c r="D15" s="345"/>
      <c r="E15" s="345"/>
      <c r="F15" s="345"/>
      <c r="G15" s="345"/>
      <c r="H15" s="345"/>
      <c r="I15" s="346"/>
      <c r="K15" s="4"/>
    </row>
    <row r="16" spans="1:13" ht="140.25" x14ac:dyDescent="0.15">
      <c r="A16" s="58" t="s">
        <v>9</v>
      </c>
      <c r="B16" s="335" t="s">
        <v>265</v>
      </c>
      <c r="C16" s="335"/>
      <c r="D16" s="335"/>
      <c r="E16" s="335"/>
      <c r="F16" s="335"/>
      <c r="G16" s="335"/>
      <c r="H16" s="335"/>
      <c r="I16" s="336"/>
      <c r="K16" s="4"/>
    </row>
    <row r="17" spans="1:12" ht="12.75" x14ac:dyDescent="0.2">
      <c r="A17" s="59"/>
      <c r="B17" s="59"/>
      <c r="C17" s="59"/>
      <c r="D17" s="59"/>
      <c r="E17" s="59"/>
      <c r="F17" s="59"/>
      <c r="G17" s="59"/>
      <c r="H17" s="59"/>
      <c r="I17" s="59"/>
      <c r="K17" s="4"/>
    </row>
    <row r="18" spans="1:12" ht="12.75" x14ac:dyDescent="0.2">
      <c r="A18" s="59"/>
      <c r="B18" s="59"/>
      <c r="C18" s="59"/>
      <c r="D18" s="59"/>
      <c r="E18" s="59"/>
      <c r="F18" s="59"/>
      <c r="G18" s="59"/>
      <c r="H18" s="59"/>
      <c r="I18" s="59"/>
      <c r="K18" s="4"/>
    </row>
    <row r="19" spans="1:12" ht="12.75" x14ac:dyDescent="0.2">
      <c r="A19" s="59"/>
      <c r="B19" s="59"/>
      <c r="C19" s="59"/>
      <c r="D19" s="59"/>
      <c r="E19" s="59"/>
      <c r="F19" s="59"/>
      <c r="G19" s="59"/>
      <c r="H19" s="59"/>
      <c r="I19" s="59"/>
      <c r="K19" s="4"/>
    </row>
    <row r="20" spans="1:12" ht="12.75" x14ac:dyDescent="0.2">
      <c r="A20" s="59"/>
      <c r="B20" s="59"/>
      <c r="C20" s="59"/>
      <c r="D20" s="59"/>
      <c r="E20" s="59"/>
      <c r="F20" s="59"/>
      <c r="G20" s="59"/>
      <c r="H20" s="59"/>
      <c r="I20" s="59"/>
      <c r="K20" s="4"/>
    </row>
    <row r="21" spans="1:12" ht="12.75" x14ac:dyDescent="0.2">
      <c r="A21" s="59"/>
      <c r="B21" s="59"/>
      <c r="C21" s="59"/>
      <c r="D21" s="59"/>
      <c r="E21" s="59"/>
      <c r="F21" s="59"/>
      <c r="G21" s="59"/>
      <c r="H21" s="59"/>
      <c r="I21" s="59"/>
      <c r="K21" s="4"/>
    </row>
    <row r="22" spans="1:12" ht="12.75" x14ac:dyDescent="0.2">
      <c r="A22" s="59"/>
      <c r="B22" s="59"/>
      <c r="C22" s="59"/>
      <c r="D22" s="59"/>
      <c r="E22" s="59"/>
      <c r="F22" s="59"/>
      <c r="G22" s="59"/>
      <c r="H22" s="59"/>
      <c r="I22" s="59"/>
      <c r="K22" s="4"/>
    </row>
    <row r="23" spans="1:12" s="1" customFormat="1" ht="12.75" x14ac:dyDescent="0.2">
      <c r="A23" s="59"/>
      <c r="B23" s="59"/>
      <c r="C23" s="59"/>
      <c r="D23" s="59"/>
      <c r="E23" s="59"/>
      <c r="F23" s="59"/>
      <c r="G23" s="59"/>
      <c r="H23" s="59"/>
      <c r="I23" s="59"/>
      <c r="L23" s="4"/>
    </row>
    <row r="24" spans="1:12" ht="11.25" x14ac:dyDescent="0.15">
      <c r="K24" s="4"/>
    </row>
    <row r="25" spans="1:12" ht="11.25" x14ac:dyDescent="0.15">
      <c r="K25" s="4"/>
    </row>
    <row r="26" spans="1:12" ht="11.25" x14ac:dyDescent="0.15">
      <c r="K26" s="4"/>
    </row>
    <row r="27" spans="1:12" ht="11.25" x14ac:dyDescent="0.15">
      <c r="K27" s="4"/>
    </row>
    <row r="28" spans="1:12" ht="11.25" x14ac:dyDescent="0.15">
      <c r="K28" s="4"/>
    </row>
    <row r="29" spans="1:12" ht="11.25" x14ac:dyDescent="0.15">
      <c r="K29" s="4"/>
    </row>
  </sheetData>
  <mergeCells count="3">
    <mergeCell ref="B14:H14"/>
    <mergeCell ref="A15:I15"/>
    <mergeCell ref="B16:I16"/>
  </mergeCells>
  <printOptions horizontalCentered="1"/>
  <pageMargins left="0.25" right="0.25" top="0.5" bottom="0.5" header="0.3" footer="0.05"/>
  <pageSetup orientation="landscape" horizontalDpi="4294967292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L18"/>
  <sheetViews>
    <sheetView view="pageBreakPreview" zoomScale="115" zoomScaleSheetLayoutView="115" workbookViewId="0">
      <selection sqref="A1:H5"/>
    </sheetView>
  </sheetViews>
  <sheetFormatPr defaultColWidth="9.140625" defaultRowHeight="15" x14ac:dyDescent="0.25"/>
  <cols>
    <col min="1" max="1" width="5.85546875" style="4" bestFit="1" customWidth="1"/>
    <col min="2" max="2" width="12.5703125" style="4" customWidth="1"/>
    <col min="3" max="3" width="32" style="4" customWidth="1"/>
    <col min="4" max="4" width="5" style="4" bestFit="1" customWidth="1"/>
    <col min="5" max="5" width="6.28515625" style="4" bestFit="1" customWidth="1"/>
    <col min="6" max="7" width="11.5703125" style="4" bestFit="1" customWidth="1"/>
    <col min="8" max="8" width="16.5703125" style="4" bestFit="1" customWidth="1"/>
    <col min="9" max="9" width="9.140625" style="1"/>
    <col min="11" max="11" width="13.28515625" style="4" bestFit="1" customWidth="1"/>
    <col min="12" max="16384" width="9.140625" style="4"/>
  </cols>
  <sheetData>
    <row r="1" spans="1:12" ht="25.5" x14ac:dyDescent="0.15">
      <c r="A1" s="95" t="s">
        <v>0</v>
      </c>
      <c r="B1" s="96" t="s">
        <v>5</v>
      </c>
      <c r="C1" s="96" t="s">
        <v>2</v>
      </c>
      <c r="D1" s="96" t="s">
        <v>3</v>
      </c>
      <c r="E1" s="96" t="s">
        <v>13</v>
      </c>
      <c r="F1" s="97" t="s">
        <v>11</v>
      </c>
      <c r="G1" s="97" t="s">
        <v>303</v>
      </c>
      <c r="H1" s="97" t="s">
        <v>12</v>
      </c>
      <c r="I1" s="40" t="s">
        <v>17</v>
      </c>
      <c r="J1" s="104" t="s">
        <v>110</v>
      </c>
      <c r="K1" s="42" t="s">
        <v>10</v>
      </c>
      <c r="L1" s="4" t="s">
        <v>258</v>
      </c>
    </row>
    <row r="2" spans="1:12" s="59" customFormat="1" ht="25.5" x14ac:dyDescent="0.2">
      <c r="A2" s="51">
        <v>1</v>
      </c>
      <c r="B2" s="51" t="s">
        <v>305</v>
      </c>
      <c r="C2" s="63" t="s">
        <v>306</v>
      </c>
      <c r="D2" s="54" t="s">
        <v>109</v>
      </c>
      <c r="E2" s="51">
        <v>10</v>
      </c>
      <c r="F2" s="55">
        <f>82*1.33*I2</f>
        <v>174496</v>
      </c>
      <c r="G2" s="55">
        <f t="shared" ref="G2" si="0">F2*18%</f>
        <v>31409.279999999999</v>
      </c>
      <c r="H2" s="56">
        <f t="shared" ref="H2" si="1">E2*(F2+G2)</f>
        <v>2059052.8</v>
      </c>
      <c r="I2" s="89">
        <v>1600</v>
      </c>
      <c r="J2" s="59">
        <v>1520</v>
      </c>
      <c r="K2" s="94">
        <v>2700</v>
      </c>
    </row>
    <row r="3" spans="1:12" ht="12.75" x14ac:dyDescent="0.15">
      <c r="A3" s="51">
        <v>2</v>
      </c>
      <c r="B3" s="337" t="s">
        <v>7</v>
      </c>
      <c r="C3" s="337"/>
      <c r="D3" s="337"/>
      <c r="E3" s="337"/>
      <c r="F3" s="337"/>
      <c r="G3" s="337"/>
      <c r="H3" s="57">
        <f>SUM(H2:H2)</f>
        <v>2059052.8</v>
      </c>
      <c r="I3" s="46"/>
      <c r="J3" s="4"/>
      <c r="K3" s="47"/>
    </row>
    <row r="4" spans="1:12" ht="12.75" x14ac:dyDescent="0.15">
      <c r="A4" s="344"/>
      <c r="B4" s="345"/>
      <c r="C4" s="345"/>
      <c r="D4" s="345"/>
      <c r="E4" s="345"/>
      <c r="F4" s="345"/>
      <c r="G4" s="345"/>
      <c r="H4" s="346"/>
      <c r="J4" s="4"/>
    </row>
    <row r="5" spans="1:12" ht="140.25" x14ac:dyDescent="0.15">
      <c r="A5" s="58" t="s">
        <v>9</v>
      </c>
      <c r="B5" s="335" t="s">
        <v>265</v>
      </c>
      <c r="C5" s="335"/>
      <c r="D5" s="335"/>
      <c r="E5" s="335"/>
      <c r="F5" s="335"/>
      <c r="G5" s="335"/>
      <c r="H5" s="336"/>
      <c r="J5" s="4"/>
    </row>
    <row r="6" spans="1:12" ht="12.75" x14ac:dyDescent="0.2">
      <c r="A6" s="59"/>
      <c r="B6" s="59"/>
      <c r="C6" s="59"/>
      <c r="D6" s="59"/>
      <c r="E6" s="59"/>
      <c r="F6" s="59"/>
      <c r="G6" s="59"/>
      <c r="H6" s="59"/>
      <c r="J6" s="4"/>
    </row>
    <row r="7" spans="1:12" ht="12.75" x14ac:dyDescent="0.2">
      <c r="A7" s="59"/>
      <c r="B7" s="59"/>
      <c r="C7" s="59"/>
      <c r="D7" s="59"/>
      <c r="E7" s="59"/>
      <c r="F7" s="59"/>
      <c r="G7" s="59"/>
      <c r="H7" s="59"/>
      <c r="J7" s="4"/>
    </row>
    <row r="8" spans="1:12" ht="12.75" x14ac:dyDescent="0.2">
      <c r="A8" s="59"/>
      <c r="B8" s="59"/>
      <c r="C8" s="59"/>
      <c r="D8" s="59"/>
      <c r="E8" s="59"/>
      <c r="F8" s="59"/>
      <c r="G8" s="59"/>
      <c r="H8" s="59"/>
      <c r="J8" s="4"/>
    </row>
    <row r="9" spans="1:12" ht="12.75" x14ac:dyDescent="0.2">
      <c r="A9" s="59"/>
      <c r="B9" s="59"/>
      <c r="C9" s="59"/>
      <c r="D9" s="59"/>
      <c r="E9" s="59"/>
      <c r="F9" s="59"/>
      <c r="G9" s="59"/>
      <c r="H9" s="59"/>
      <c r="J9" s="4"/>
    </row>
    <row r="10" spans="1:12" ht="12.75" x14ac:dyDescent="0.2">
      <c r="A10" s="59"/>
      <c r="B10" s="59"/>
      <c r="C10" s="59"/>
      <c r="D10" s="59"/>
      <c r="E10" s="59"/>
      <c r="F10" s="59"/>
      <c r="G10" s="59"/>
      <c r="H10" s="59"/>
      <c r="J10" s="4"/>
    </row>
    <row r="11" spans="1:12" ht="12.75" x14ac:dyDescent="0.2">
      <c r="A11" s="59"/>
      <c r="B11" s="59"/>
      <c r="C11" s="59"/>
      <c r="D11" s="59"/>
      <c r="E11" s="59"/>
      <c r="F11" s="59"/>
      <c r="G11" s="59"/>
      <c r="H11" s="59"/>
      <c r="J11" s="4"/>
    </row>
    <row r="12" spans="1:12" s="1" customFormat="1" ht="12.75" x14ac:dyDescent="0.2">
      <c r="A12" s="59"/>
      <c r="B12" s="59"/>
      <c r="C12" s="59"/>
      <c r="D12" s="59"/>
      <c r="E12" s="59"/>
      <c r="F12" s="59"/>
      <c r="G12" s="59"/>
      <c r="H12" s="59"/>
      <c r="K12" s="4"/>
    </row>
    <row r="13" spans="1:12" ht="11.25" x14ac:dyDescent="0.15">
      <c r="J13" s="4"/>
    </row>
    <row r="14" spans="1:12" ht="11.25" x14ac:dyDescent="0.15">
      <c r="J14" s="4"/>
    </row>
    <row r="15" spans="1:12" ht="11.25" x14ac:dyDescent="0.15">
      <c r="J15" s="4"/>
    </row>
    <row r="16" spans="1:12" ht="11.25" x14ac:dyDescent="0.15">
      <c r="J16" s="4"/>
    </row>
    <row r="17" spans="10:10" ht="11.25" x14ac:dyDescent="0.15">
      <c r="J17" s="4"/>
    </row>
    <row r="18" spans="10:10" ht="11.25" x14ac:dyDescent="0.15">
      <c r="J18" s="4"/>
    </row>
  </sheetData>
  <mergeCells count="3">
    <mergeCell ref="B3:G3"/>
    <mergeCell ref="A4:H4"/>
    <mergeCell ref="B5:H5"/>
  </mergeCells>
  <printOptions horizontalCentered="1"/>
  <pageMargins left="0.25" right="0.25" top="0.5" bottom="0.5" header="0.3" footer="0.05"/>
  <pageSetup orientation="landscape" horizontalDpi="4294967292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L19"/>
  <sheetViews>
    <sheetView view="pageBreakPreview" zoomScale="115" zoomScaleSheetLayoutView="115" workbookViewId="0">
      <selection activeCell="C3" sqref="C3"/>
    </sheetView>
  </sheetViews>
  <sheetFormatPr defaultColWidth="9.140625" defaultRowHeight="15" x14ac:dyDescent="0.25"/>
  <cols>
    <col min="1" max="1" width="5.85546875" style="4" bestFit="1" customWidth="1"/>
    <col min="2" max="2" width="12.5703125" style="4" customWidth="1"/>
    <col min="3" max="3" width="32" style="4" customWidth="1"/>
    <col min="4" max="4" width="5" style="4" bestFit="1" customWidth="1"/>
    <col min="5" max="5" width="6.28515625" style="4" bestFit="1" customWidth="1"/>
    <col min="6" max="7" width="11.5703125" style="4" bestFit="1" customWidth="1"/>
    <col min="8" max="8" width="16.5703125" style="4" bestFit="1" customWidth="1"/>
    <col min="9" max="9" width="9.140625" style="1"/>
    <col min="11" max="11" width="13.28515625" style="4" bestFit="1" customWidth="1"/>
    <col min="12" max="16384" width="9.140625" style="4"/>
  </cols>
  <sheetData>
    <row r="1" spans="1:12" ht="25.5" x14ac:dyDescent="0.25">
      <c r="A1" s="95" t="s">
        <v>0</v>
      </c>
      <c r="B1" s="96" t="s">
        <v>5</v>
      </c>
      <c r="C1" s="96" t="s">
        <v>2</v>
      </c>
      <c r="D1" s="96" t="s">
        <v>3</v>
      </c>
      <c r="E1" s="96" t="s">
        <v>13</v>
      </c>
      <c r="F1" s="97" t="s">
        <v>11</v>
      </c>
      <c r="G1" s="97" t="s">
        <v>303</v>
      </c>
      <c r="H1" s="97" t="s">
        <v>12</v>
      </c>
      <c r="I1" s="40" t="s">
        <v>17</v>
      </c>
      <c r="K1" s="42" t="s">
        <v>10</v>
      </c>
      <c r="L1" s="4" t="s">
        <v>258</v>
      </c>
    </row>
    <row r="2" spans="1:12" s="59" customFormat="1" ht="38.25" x14ac:dyDescent="0.2">
      <c r="A2" s="51">
        <v>1</v>
      </c>
      <c r="B2" s="51" t="s">
        <v>269</v>
      </c>
      <c r="C2" s="63" t="s">
        <v>307</v>
      </c>
      <c r="D2" s="54" t="s">
        <v>109</v>
      </c>
      <c r="E2" s="51">
        <v>2</v>
      </c>
      <c r="F2" s="55" t="s">
        <v>252</v>
      </c>
      <c r="G2" s="55">
        <v>0</v>
      </c>
      <c r="H2" s="56">
        <v>0</v>
      </c>
      <c r="I2" s="89"/>
      <c r="K2" s="94">
        <v>2700</v>
      </c>
    </row>
    <row r="3" spans="1:12" s="59" customFormat="1" ht="51" x14ac:dyDescent="0.2">
      <c r="A3" s="51">
        <v>2</v>
      </c>
      <c r="B3" s="51" t="s">
        <v>269</v>
      </c>
      <c r="C3" s="63" t="s">
        <v>308</v>
      </c>
      <c r="D3" s="54" t="s">
        <v>109</v>
      </c>
      <c r="E3" s="51">
        <v>2</v>
      </c>
      <c r="F3" s="55">
        <f>82*1.33*I3</f>
        <v>4144.28</v>
      </c>
      <c r="G3" s="55">
        <f t="shared" ref="G3" si="0">F3*18%</f>
        <v>745.97039999999993</v>
      </c>
      <c r="H3" s="56">
        <f t="shared" ref="H3" si="1">E3*(F3+G3)</f>
        <v>9780.5007999999998</v>
      </c>
      <c r="I3" s="89">
        <v>38</v>
      </c>
      <c r="K3" s="94">
        <v>18</v>
      </c>
    </row>
    <row r="4" spans="1:12" ht="12.75" x14ac:dyDescent="0.15">
      <c r="A4" s="51">
        <v>3</v>
      </c>
      <c r="B4" s="337" t="s">
        <v>7</v>
      </c>
      <c r="C4" s="337"/>
      <c r="D4" s="337"/>
      <c r="E4" s="337"/>
      <c r="F4" s="337"/>
      <c r="G4" s="337"/>
      <c r="H4" s="57">
        <f>SUM(H3:H3)</f>
        <v>9780.5007999999998</v>
      </c>
      <c r="I4" s="46"/>
      <c r="J4" s="4"/>
      <c r="K4" s="47"/>
    </row>
    <row r="5" spans="1:12" ht="12.75" x14ac:dyDescent="0.15">
      <c r="A5" s="344"/>
      <c r="B5" s="345"/>
      <c r="C5" s="345"/>
      <c r="D5" s="345"/>
      <c r="E5" s="345"/>
      <c r="F5" s="345"/>
      <c r="G5" s="345"/>
      <c r="H5" s="346"/>
      <c r="J5" s="4"/>
    </row>
    <row r="6" spans="1:12" ht="140.25" x14ac:dyDescent="0.15">
      <c r="A6" s="58" t="s">
        <v>9</v>
      </c>
      <c r="B6" s="335" t="s">
        <v>265</v>
      </c>
      <c r="C6" s="335"/>
      <c r="D6" s="335"/>
      <c r="E6" s="335"/>
      <c r="F6" s="335"/>
      <c r="G6" s="335"/>
      <c r="H6" s="336"/>
      <c r="J6" s="4"/>
    </row>
    <row r="7" spans="1:12" ht="12.75" x14ac:dyDescent="0.2">
      <c r="A7" s="59"/>
      <c r="B7" s="59"/>
      <c r="C7" s="59"/>
      <c r="D7" s="59"/>
      <c r="E7" s="59"/>
      <c r="F7" s="59"/>
      <c r="G7" s="59"/>
      <c r="H7" s="59"/>
      <c r="J7" s="4"/>
    </row>
    <row r="8" spans="1:12" ht="12.75" x14ac:dyDescent="0.2">
      <c r="A8" s="59"/>
      <c r="B8" s="59"/>
      <c r="C8" s="59"/>
      <c r="D8" s="59"/>
      <c r="E8" s="59"/>
      <c r="F8" s="59"/>
      <c r="G8" s="59"/>
      <c r="H8" s="59"/>
      <c r="J8" s="4"/>
    </row>
    <row r="9" spans="1:12" ht="12.75" x14ac:dyDescent="0.2">
      <c r="A9" s="59"/>
      <c r="B9" s="59"/>
      <c r="C9" s="59"/>
      <c r="D9" s="59"/>
      <c r="E9" s="59"/>
      <c r="F9" s="59"/>
      <c r="G9" s="59"/>
      <c r="H9" s="59"/>
      <c r="J9" s="4"/>
    </row>
    <row r="10" spans="1:12" ht="12.75" x14ac:dyDescent="0.2">
      <c r="A10" s="59"/>
      <c r="B10" s="59"/>
      <c r="C10" s="59"/>
      <c r="D10" s="59"/>
      <c r="E10" s="59"/>
      <c r="F10" s="59"/>
      <c r="G10" s="59"/>
      <c r="H10" s="59"/>
      <c r="J10" s="4"/>
    </row>
    <row r="11" spans="1:12" ht="12.75" x14ac:dyDescent="0.2">
      <c r="A11" s="59"/>
      <c r="B11" s="59"/>
      <c r="C11" s="59"/>
      <c r="D11" s="59"/>
      <c r="E11" s="59"/>
      <c r="F11" s="59"/>
      <c r="G11" s="59"/>
      <c r="H11" s="59"/>
      <c r="J11" s="4"/>
    </row>
    <row r="12" spans="1:12" ht="12.75" x14ac:dyDescent="0.2">
      <c r="A12" s="59"/>
      <c r="B12" s="59"/>
      <c r="C12" s="59"/>
      <c r="D12" s="59"/>
      <c r="E12" s="59"/>
      <c r="F12" s="59"/>
      <c r="G12" s="59"/>
      <c r="H12" s="59"/>
      <c r="J12" s="4"/>
    </row>
    <row r="13" spans="1:12" s="1" customFormat="1" ht="12.75" x14ac:dyDescent="0.2">
      <c r="A13" s="59"/>
      <c r="B13" s="59"/>
      <c r="C13" s="59"/>
      <c r="D13" s="59"/>
      <c r="E13" s="59"/>
      <c r="F13" s="59"/>
      <c r="G13" s="59"/>
      <c r="H13" s="59"/>
      <c r="K13" s="4"/>
    </row>
    <row r="14" spans="1:12" ht="11.25" x14ac:dyDescent="0.15">
      <c r="J14" s="4"/>
    </row>
    <row r="15" spans="1:12" ht="11.25" x14ac:dyDescent="0.15">
      <c r="J15" s="4"/>
    </row>
    <row r="16" spans="1:12" ht="11.25" x14ac:dyDescent="0.15">
      <c r="J16" s="4"/>
    </row>
    <row r="17" spans="10:10" ht="11.25" x14ac:dyDescent="0.15">
      <c r="J17" s="4"/>
    </row>
    <row r="18" spans="10:10" ht="11.25" x14ac:dyDescent="0.15">
      <c r="J18" s="4"/>
    </row>
    <row r="19" spans="10:10" ht="11.25" x14ac:dyDescent="0.15">
      <c r="J19" s="4"/>
    </row>
  </sheetData>
  <mergeCells count="3">
    <mergeCell ref="B4:G4"/>
    <mergeCell ref="A5:H5"/>
    <mergeCell ref="B6:H6"/>
  </mergeCells>
  <printOptions horizontalCentered="1"/>
  <pageMargins left="0.25" right="0.25" top="0.5" bottom="0.5" header="0.3" footer="0.05"/>
  <pageSetup orientation="landscape" horizontalDpi="4294967292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L18"/>
  <sheetViews>
    <sheetView view="pageBreakPreview" zoomScale="115" zoomScaleSheetLayoutView="115" workbookViewId="0">
      <selection sqref="A1:H5"/>
    </sheetView>
  </sheetViews>
  <sheetFormatPr defaultColWidth="9.140625" defaultRowHeight="15" x14ac:dyDescent="0.25"/>
  <cols>
    <col min="1" max="1" width="5.85546875" style="4" bestFit="1" customWidth="1"/>
    <col min="2" max="2" width="12.5703125" style="4" customWidth="1"/>
    <col min="3" max="3" width="32" style="4" customWidth="1"/>
    <col min="4" max="4" width="5" style="4" bestFit="1" customWidth="1"/>
    <col min="5" max="5" width="6.28515625" style="4" bestFit="1" customWidth="1"/>
    <col min="6" max="7" width="11.5703125" style="4" bestFit="1" customWidth="1"/>
    <col min="8" max="8" width="16.5703125" style="4" bestFit="1" customWidth="1"/>
    <col min="9" max="9" width="9.140625" style="1"/>
    <col min="11" max="11" width="13.28515625" style="4" bestFit="1" customWidth="1"/>
    <col min="12" max="16384" width="9.140625" style="4"/>
  </cols>
  <sheetData>
    <row r="1" spans="1:12" ht="25.5" x14ac:dyDescent="0.25">
      <c r="A1" s="95" t="s">
        <v>0</v>
      </c>
      <c r="B1" s="96" t="s">
        <v>5</v>
      </c>
      <c r="C1" s="96" t="s">
        <v>2</v>
      </c>
      <c r="D1" s="96" t="s">
        <v>3</v>
      </c>
      <c r="E1" s="96" t="s">
        <v>13</v>
      </c>
      <c r="F1" s="97" t="s">
        <v>11</v>
      </c>
      <c r="G1" s="97" t="s">
        <v>303</v>
      </c>
      <c r="H1" s="97" t="s">
        <v>12</v>
      </c>
      <c r="I1" s="40" t="s">
        <v>17</v>
      </c>
      <c r="K1" s="42" t="s">
        <v>10</v>
      </c>
      <c r="L1" s="4" t="s">
        <v>258</v>
      </c>
    </row>
    <row r="2" spans="1:12" s="59" customFormat="1" ht="38.25" x14ac:dyDescent="0.2">
      <c r="A2" s="51">
        <v>1</v>
      </c>
      <c r="B2" s="51" t="s">
        <v>269</v>
      </c>
      <c r="C2" s="63" t="s">
        <v>309</v>
      </c>
      <c r="D2" s="54" t="s">
        <v>109</v>
      </c>
      <c r="E2" s="51">
        <v>1</v>
      </c>
      <c r="F2" s="55">
        <f>82*1.33*I2</f>
        <v>452599</v>
      </c>
      <c r="G2" s="55">
        <f t="shared" ref="G2" si="0">F2*18%</f>
        <v>81467.819999999992</v>
      </c>
      <c r="H2" s="56">
        <f t="shared" ref="H2" si="1">E2*(F2+G2)</f>
        <v>534066.81999999995</v>
      </c>
      <c r="I2" s="89">
        <f>K2</f>
        <v>4150</v>
      </c>
      <c r="K2" s="94">
        <v>4150</v>
      </c>
    </row>
    <row r="3" spans="1:12" ht="12.75" x14ac:dyDescent="0.15">
      <c r="A3" s="51">
        <v>2</v>
      </c>
      <c r="B3" s="337" t="s">
        <v>7</v>
      </c>
      <c r="C3" s="337"/>
      <c r="D3" s="337"/>
      <c r="E3" s="337"/>
      <c r="F3" s="337"/>
      <c r="G3" s="337"/>
      <c r="H3" s="57">
        <f>H2</f>
        <v>534066.81999999995</v>
      </c>
      <c r="I3" s="46"/>
      <c r="J3" s="4"/>
      <c r="K3" s="47"/>
    </row>
    <row r="4" spans="1:12" ht="12.75" x14ac:dyDescent="0.15">
      <c r="A4" s="344"/>
      <c r="B4" s="345"/>
      <c r="C4" s="345"/>
      <c r="D4" s="345"/>
      <c r="E4" s="345"/>
      <c r="F4" s="345"/>
      <c r="G4" s="345"/>
      <c r="H4" s="346"/>
      <c r="J4" s="4"/>
    </row>
    <row r="5" spans="1:12" ht="140.25" x14ac:dyDescent="0.15">
      <c r="A5" s="58" t="s">
        <v>9</v>
      </c>
      <c r="B5" s="335" t="s">
        <v>265</v>
      </c>
      <c r="C5" s="335"/>
      <c r="D5" s="335"/>
      <c r="E5" s="335"/>
      <c r="F5" s="335"/>
      <c r="G5" s="335"/>
      <c r="H5" s="336"/>
      <c r="J5" s="4"/>
    </row>
    <row r="6" spans="1:12" ht="12.75" x14ac:dyDescent="0.2">
      <c r="A6" s="59"/>
      <c r="B6" s="59"/>
      <c r="C6" s="59"/>
      <c r="D6" s="59"/>
      <c r="E6" s="59"/>
      <c r="F6" s="59"/>
      <c r="G6" s="59"/>
      <c r="H6" s="59"/>
      <c r="J6" s="4"/>
    </row>
    <row r="7" spans="1:12" ht="12.75" x14ac:dyDescent="0.2">
      <c r="A7" s="59"/>
      <c r="B7" s="59"/>
      <c r="C7" s="59"/>
      <c r="D7" s="59"/>
      <c r="E7" s="59"/>
      <c r="F7" s="59"/>
      <c r="G7" s="59"/>
      <c r="H7" s="59"/>
      <c r="J7" s="4"/>
    </row>
    <row r="8" spans="1:12" ht="12.75" x14ac:dyDescent="0.2">
      <c r="A8" s="59"/>
      <c r="B8" s="59"/>
      <c r="C8" s="59"/>
      <c r="D8" s="59"/>
      <c r="E8" s="59"/>
      <c r="F8" s="59"/>
      <c r="G8" s="59"/>
      <c r="H8" s="59"/>
      <c r="J8" s="4"/>
    </row>
    <row r="9" spans="1:12" ht="12.75" x14ac:dyDescent="0.2">
      <c r="A9" s="59"/>
      <c r="B9" s="59"/>
      <c r="C9" s="59"/>
      <c r="D9" s="59"/>
      <c r="E9" s="59"/>
      <c r="F9" s="59"/>
      <c r="G9" s="59"/>
      <c r="H9" s="59"/>
      <c r="J9" s="4"/>
    </row>
    <row r="10" spans="1:12" ht="12.75" x14ac:dyDescent="0.2">
      <c r="A10" s="59"/>
      <c r="B10" s="59"/>
      <c r="C10" s="59"/>
      <c r="D10" s="59"/>
      <c r="E10" s="59"/>
      <c r="F10" s="59"/>
      <c r="G10" s="59"/>
      <c r="H10" s="59"/>
      <c r="J10" s="4"/>
    </row>
    <row r="11" spans="1:12" ht="12.75" x14ac:dyDescent="0.2">
      <c r="A11" s="59"/>
      <c r="B11" s="59"/>
      <c r="C11" s="59"/>
      <c r="D11" s="59"/>
      <c r="E11" s="59"/>
      <c r="F11" s="59"/>
      <c r="G11" s="59"/>
      <c r="H11" s="59"/>
      <c r="J11" s="4"/>
    </row>
    <row r="12" spans="1:12" s="1" customFormat="1" ht="12.75" x14ac:dyDescent="0.2">
      <c r="A12" s="59"/>
      <c r="B12" s="59"/>
      <c r="C12" s="59"/>
      <c r="D12" s="59"/>
      <c r="E12" s="59"/>
      <c r="F12" s="59"/>
      <c r="G12" s="59"/>
      <c r="H12" s="59"/>
      <c r="K12" s="4"/>
    </row>
    <row r="13" spans="1:12" ht="11.25" x14ac:dyDescent="0.15">
      <c r="J13" s="4"/>
    </row>
    <row r="14" spans="1:12" ht="11.25" x14ac:dyDescent="0.15">
      <c r="J14" s="4"/>
    </row>
    <row r="15" spans="1:12" ht="11.25" x14ac:dyDescent="0.15">
      <c r="J15" s="4"/>
    </row>
    <row r="16" spans="1:12" ht="11.25" x14ac:dyDescent="0.15">
      <c r="J16" s="4"/>
    </row>
    <row r="17" spans="10:10" ht="11.25" x14ac:dyDescent="0.15">
      <c r="J17" s="4"/>
    </row>
    <row r="18" spans="10:10" ht="11.25" x14ac:dyDescent="0.15">
      <c r="J18" s="4"/>
    </row>
  </sheetData>
  <mergeCells count="3">
    <mergeCell ref="B3:G3"/>
    <mergeCell ref="A4:H4"/>
    <mergeCell ref="B5:H5"/>
  </mergeCells>
  <printOptions horizontalCentered="1"/>
  <pageMargins left="0.25" right="0.25" top="0.5" bottom="0.5" header="0.3" footer="0.05"/>
  <pageSetup orientation="landscape" horizontalDpi="4294967292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L18"/>
  <sheetViews>
    <sheetView view="pageBreakPreview" zoomScale="115" zoomScaleSheetLayoutView="115" workbookViewId="0">
      <selection sqref="A1:H5"/>
    </sheetView>
  </sheetViews>
  <sheetFormatPr defaultColWidth="9.140625" defaultRowHeight="15" x14ac:dyDescent="0.25"/>
  <cols>
    <col min="1" max="1" width="5.85546875" style="4" bestFit="1" customWidth="1"/>
    <col min="2" max="2" width="12.5703125" style="4" customWidth="1"/>
    <col min="3" max="3" width="32" style="4" customWidth="1"/>
    <col min="4" max="4" width="5" style="4" bestFit="1" customWidth="1"/>
    <col min="5" max="5" width="6.28515625" style="4" bestFit="1" customWidth="1"/>
    <col min="6" max="7" width="11.5703125" style="4" bestFit="1" customWidth="1"/>
    <col min="8" max="8" width="16.5703125" style="4" bestFit="1" customWidth="1"/>
    <col min="9" max="9" width="9.140625" style="1"/>
    <col min="11" max="11" width="13.28515625" style="4" bestFit="1" customWidth="1"/>
    <col min="12" max="16384" width="9.140625" style="4"/>
  </cols>
  <sheetData>
    <row r="1" spans="1:12" ht="25.5" x14ac:dyDescent="0.25">
      <c r="A1" s="95" t="s">
        <v>0</v>
      </c>
      <c r="B1" s="96" t="s">
        <v>5</v>
      </c>
      <c r="C1" s="96" t="s">
        <v>2</v>
      </c>
      <c r="D1" s="96" t="s">
        <v>3</v>
      </c>
      <c r="E1" s="96" t="s">
        <v>13</v>
      </c>
      <c r="F1" s="97" t="s">
        <v>11</v>
      </c>
      <c r="G1" s="97" t="s">
        <v>303</v>
      </c>
      <c r="H1" s="97" t="s">
        <v>12</v>
      </c>
      <c r="I1" s="40" t="s">
        <v>17</v>
      </c>
      <c r="K1" s="42" t="s">
        <v>110</v>
      </c>
      <c r="L1" s="4" t="s">
        <v>258</v>
      </c>
    </row>
    <row r="2" spans="1:12" s="59" customFormat="1" ht="102" x14ac:dyDescent="0.2">
      <c r="A2" s="51">
        <v>1</v>
      </c>
      <c r="B2" s="51" t="s">
        <v>269</v>
      </c>
      <c r="C2" s="63" t="s">
        <v>310</v>
      </c>
      <c r="D2" s="54" t="s">
        <v>109</v>
      </c>
      <c r="E2" s="51">
        <v>1</v>
      </c>
      <c r="F2" s="55">
        <f>82*1.33*I2</f>
        <v>370804</v>
      </c>
      <c r="G2" s="55">
        <f t="shared" ref="G2" si="0">F2*18%</f>
        <v>66744.72</v>
      </c>
      <c r="H2" s="56">
        <f t="shared" ref="H2" si="1">E2*(F2+G2)</f>
        <v>437548.72</v>
      </c>
      <c r="I2" s="89">
        <v>3400</v>
      </c>
      <c r="K2" s="94">
        <v>2900</v>
      </c>
    </row>
    <row r="3" spans="1:12" ht="12.75" x14ac:dyDescent="0.15">
      <c r="A3" s="51">
        <v>2</v>
      </c>
      <c r="B3" s="337" t="s">
        <v>7</v>
      </c>
      <c r="C3" s="337"/>
      <c r="D3" s="337"/>
      <c r="E3" s="337"/>
      <c r="F3" s="337"/>
      <c r="G3" s="337"/>
      <c r="H3" s="57">
        <f>H2</f>
        <v>437548.72</v>
      </c>
      <c r="I3" s="46"/>
      <c r="J3" s="4"/>
      <c r="K3" s="47"/>
    </row>
    <row r="4" spans="1:12" ht="12.75" x14ac:dyDescent="0.15">
      <c r="A4" s="344"/>
      <c r="B4" s="345"/>
      <c r="C4" s="345"/>
      <c r="D4" s="345"/>
      <c r="E4" s="345"/>
      <c r="F4" s="345"/>
      <c r="G4" s="345"/>
      <c r="H4" s="346"/>
      <c r="J4" s="4"/>
    </row>
    <row r="5" spans="1:12" ht="140.25" x14ac:dyDescent="0.15">
      <c r="A5" s="58" t="s">
        <v>9</v>
      </c>
      <c r="B5" s="335" t="s">
        <v>265</v>
      </c>
      <c r="C5" s="335"/>
      <c r="D5" s="335"/>
      <c r="E5" s="335"/>
      <c r="F5" s="335"/>
      <c r="G5" s="335"/>
      <c r="H5" s="336"/>
      <c r="J5" s="4"/>
    </row>
    <row r="6" spans="1:12" ht="12.75" x14ac:dyDescent="0.2">
      <c r="A6" s="59"/>
      <c r="B6" s="59"/>
      <c r="C6" s="59"/>
      <c r="D6" s="59"/>
      <c r="E6" s="59"/>
      <c r="F6" s="59"/>
      <c r="G6" s="59"/>
      <c r="H6" s="59"/>
      <c r="J6" s="4"/>
    </row>
    <row r="7" spans="1:12" ht="12.75" x14ac:dyDescent="0.2">
      <c r="A7" s="59"/>
      <c r="B7" s="59"/>
      <c r="C7" s="59"/>
      <c r="D7" s="59"/>
      <c r="E7" s="59"/>
      <c r="F7" s="59"/>
      <c r="G7" s="59"/>
      <c r="H7" s="59"/>
      <c r="J7" s="4"/>
    </row>
    <row r="8" spans="1:12" ht="12.75" x14ac:dyDescent="0.2">
      <c r="A8" s="59"/>
      <c r="B8" s="59"/>
      <c r="C8" s="59"/>
      <c r="D8" s="59"/>
      <c r="E8" s="59"/>
      <c r="F8" s="59"/>
      <c r="G8" s="59"/>
      <c r="H8" s="59"/>
      <c r="J8" s="4"/>
    </row>
    <row r="9" spans="1:12" ht="12.75" x14ac:dyDescent="0.2">
      <c r="A9" s="59"/>
      <c r="B9" s="59"/>
      <c r="C9" s="59"/>
      <c r="D9" s="59"/>
      <c r="E9" s="59"/>
      <c r="F9" s="59"/>
      <c r="G9" s="59"/>
      <c r="H9" s="59"/>
      <c r="J9" s="4"/>
    </row>
    <row r="10" spans="1:12" ht="12.75" x14ac:dyDescent="0.2">
      <c r="A10" s="59"/>
      <c r="B10" s="59"/>
      <c r="C10" s="59"/>
      <c r="D10" s="59"/>
      <c r="E10" s="59"/>
      <c r="F10" s="59"/>
      <c r="G10" s="59"/>
      <c r="H10" s="59"/>
      <c r="J10" s="4"/>
    </row>
    <row r="11" spans="1:12" ht="12.75" x14ac:dyDescent="0.2">
      <c r="A11" s="59"/>
      <c r="B11" s="59"/>
      <c r="C11" s="59"/>
      <c r="D11" s="59"/>
      <c r="E11" s="59"/>
      <c r="F11" s="59"/>
      <c r="G11" s="59"/>
      <c r="H11" s="59"/>
      <c r="J11" s="4"/>
    </row>
    <row r="12" spans="1:12" s="1" customFormat="1" ht="12.75" x14ac:dyDescent="0.2">
      <c r="A12" s="59"/>
      <c r="B12" s="59"/>
      <c r="C12" s="59"/>
      <c r="D12" s="59"/>
      <c r="E12" s="59"/>
      <c r="F12" s="59"/>
      <c r="G12" s="59"/>
      <c r="H12" s="59"/>
      <c r="K12" s="4"/>
    </row>
    <row r="13" spans="1:12" ht="11.25" x14ac:dyDescent="0.15">
      <c r="J13" s="4"/>
    </row>
    <row r="14" spans="1:12" ht="11.25" x14ac:dyDescent="0.15">
      <c r="J14" s="4"/>
    </row>
    <row r="15" spans="1:12" ht="11.25" x14ac:dyDescent="0.15">
      <c r="J15" s="4"/>
    </row>
    <row r="16" spans="1:12" ht="11.25" x14ac:dyDescent="0.15">
      <c r="J16" s="4"/>
    </row>
    <row r="17" spans="10:10" ht="11.25" x14ac:dyDescent="0.15">
      <c r="J17" s="4"/>
    </row>
    <row r="18" spans="10:10" ht="11.25" x14ac:dyDescent="0.15">
      <c r="J18" s="4"/>
    </row>
  </sheetData>
  <mergeCells count="3">
    <mergeCell ref="B3:G3"/>
    <mergeCell ref="A4:H4"/>
    <mergeCell ref="B5:H5"/>
  </mergeCells>
  <printOptions horizontalCentered="1"/>
  <pageMargins left="0.25" right="0.25" top="0.5" bottom="0.5" header="0.3" footer="0.05"/>
  <pageSetup orientation="landscape" horizontalDpi="4294967292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L18"/>
  <sheetViews>
    <sheetView view="pageBreakPreview" zoomScale="115" zoomScaleSheetLayoutView="115" workbookViewId="0">
      <selection activeCell="C2" sqref="C2"/>
    </sheetView>
  </sheetViews>
  <sheetFormatPr defaultColWidth="9.140625" defaultRowHeight="15" x14ac:dyDescent="0.25"/>
  <cols>
    <col min="1" max="1" width="5.85546875" style="4" bestFit="1" customWidth="1"/>
    <col min="2" max="2" width="12.5703125" style="4" customWidth="1"/>
    <col min="3" max="3" width="32" style="4" customWidth="1"/>
    <col min="4" max="4" width="5" style="4" bestFit="1" customWidth="1"/>
    <col min="5" max="5" width="6.28515625" style="4" bestFit="1" customWidth="1"/>
    <col min="6" max="7" width="11.5703125" style="4" bestFit="1" customWidth="1"/>
    <col min="8" max="8" width="16.5703125" style="4" bestFit="1" customWidth="1"/>
    <col min="9" max="9" width="9.140625" style="1"/>
    <col min="11" max="11" width="13.28515625" style="4" bestFit="1" customWidth="1"/>
    <col min="12" max="16384" width="9.140625" style="4"/>
  </cols>
  <sheetData>
    <row r="1" spans="1:12" ht="25.5" x14ac:dyDescent="0.25">
      <c r="A1" s="95" t="s">
        <v>0</v>
      </c>
      <c r="B1" s="96" t="s">
        <v>5</v>
      </c>
      <c r="C1" s="96" t="s">
        <v>2</v>
      </c>
      <c r="D1" s="96" t="s">
        <v>3</v>
      </c>
      <c r="E1" s="96" t="s">
        <v>13</v>
      </c>
      <c r="F1" s="97" t="s">
        <v>11</v>
      </c>
      <c r="G1" s="97" t="s">
        <v>303</v>
      </c>
      <c r="H1" s="97" t="s">
        <v>12</v>
      </c>
      <c r="I1" s="40" t="s">
        <v>17</v>
      </c>
      <c r="K1" s="42" t="s">
        <v>110</v>
      </c>
      <c r="L1" s="4" t="s">
        <v>258</v>
      </c>
    </row>
    <row r="2" spans="1:12" s="59" customFormat="1" ht="114.75" x14ac:dyDescent="0.2">
      <c r="A2" s="51">
        <v>1</v>
      </c>
      <c r="B2" s="51" t="s">
        <v>269</v>
      </c>
      <c r="C2" s="63" t="s">
        <v>313</v>
      </c>
      <c r="D2" s="54" t="s">
        <v>109</v>
      </c>
      <c r="E2" s="51">
        <v>3</v>
      </c>
      <c r="F2" s="55">
        <f>84*1.32*I2</f>
        <v>79833.600000000006</v>
      </c>
      <c r="G2" s="55">
        <f t="shared" ref="G2" si="0">F2*18%</f>
        <v>14370.048000000001</v>
      </c>
      <c r="H2" s="56">
        <f t="shared" ref="H2" si="1">E2*(F2+G2)</f>
        <v>282610.94400000002</v>
      </c>
      <c r="I2" s="89">
        <v>720</v>
      </c>
      <c r="K2" s="94">
        <f>460+245</f>
        <v>705</v>
      </c>
    </row>
    <row r="3" spans="1:12" ht="12.75" x14ac:dyDescent="0.15">
      <c r="A3" s="51">
        <v>2</v>
      </c>
      <c r="B3" s="337" t="s">
        <v>7</v>
      </c>
      <c r="C3" s="337"/>
      <c r="D3" s="337"/>
      <c r="E3" s="337"/>
      <c r="F3" s="337"/>
      <c r="G3" s="337"/>
      <c r="H3" s="57">
        <f>H2</f>
        <v>282610.94400000002</v>
      </c>
      <c r="I3" s="46"/>
      <c r="J3" s="4"/>
      <c r="K3" s="47"/>
    </row>
    <row r="4" spans="1:12" ht="12.75" x14ac:dyDescent="0.15">
      <c r="A4" s="344"/>
      <c r="B4" s="345"/>
      <c r="C4" s="345"/>
      <c r="D4" s="345"/>
      <c r="E4" s="345"/>
      <c r="F4" s="345"/>
      <c r="G4" s="345"/>
      <c r="H4" s="346"/>
      <c r="J4" s="4"/>
    </row>
    <row r="5" spans="1:12" ht="140.25" x14ac:dyDescent="0.15">
      <c r="A5" s="58" t="s">
        <v>9</v>
      </c>
      <c r="B5" s="335" t="s">
        <v>265</v>
      </c>
      <c r="C5" s="335"/>
      <c r="D5" s="335"/>
      <c r="E5" s="335"/>
      <c r="F5" s="335"/>
      <c r="G5" s="335"/>
      <c r="H5" s="336"/>
      <c r="J5" s="4"/>
    </row>
    <row r="6" spans="1:12" ht="12.75" x14ac:dyDescent="0.2">
      <c r="A6" s="59"/>
      <c r="B6" s="59"/>
      <c r="C6" s="59"/>
      <c r="D6" s="59"/>
      <c r="E6" s="59"/>
      <c r="F6" s="59"/>
      <c r="G6" s="59"/>
      <c r="H6" s="59"/>
      <c r="J6" s="4"/>
    </row>
    <row r="7" spans="1:12" ht="12.75" x14ac:dyDescent="0.2">
      <c r="A7" s="59"/>
      <c r="B7" s="59"/>
      <c r="C7" s="59"/>
      <c r="D7" s="59"/>
      <c r="E7" s="59"/>
      <c r="F7" s="59"/>
      <c r="G7" s="59"/>
      <c r="H7" s="59"/>
      <c r="J7" s="4"/>
    </row>
    <row r="8" spans="1:12" ht="12.75" x14ac:dyDescent="0.2">
      <c r="A8" s="59"/>
      <c r="B8" s="59"/>
      <c r="C8" s="59"/>
      <c r="D8" s="59"/>
      <c r="E8" s="59"/>
      <c r="F8" s="59"/>
      <c r="G8" s="59"/>
      <c r="H8" s="59"/>
      <c r="J8" s="4"/>
    </row>
    <row r="9" spans="1:12" ht="12.75" x14ac:dyDescent="0.2">
      <c r="A9" s="59"/>
      <c r="B9" s="59"/>
      <c r="C9" s="59"/>
      <c r="D9" s="59"/>
      <c r="E9" s="59"/>
      <c r="F9" s="59"/>
      <c r="G9" s="59"/>
      <c r="H9" s="59"/>
      <c r="J9" s="4"/>
    </row>
    <row r="10" spans="1:12" ht="12.75" x14ac:dyDescent="0.2">
      <c r="A10" s="59"/>
      <c r="B10" s="59"/>
      <c r="C10" s="59"/>
      <c r="D10" s="59"/>
      <c r="E10" s="59"/>
      <c r="F10" s="59"/>
      <c r="G10" s="59"/>
      <c r="H10" s="59"/>
      <c r="J10" s="4"/>
    </row>
    <row r="11" spans="1:12" ht="12.75" x14ac:dyDescent="0.2">
      <c r="A11" s="59"/>
      <c r="B11" s="59"/>
      <c r="C11" s="59"/>
      <c r="D11" s="59"/>
      <c r="E11" s="59"/>
      <c r="F11" s="59"/>
      <c r="G11" s="59"/>
      <c r="H11" s="59"/>
      <c r="J11" s="4"/>
    </row>
    <row r="12" spans="1:12" s="1" customFormat="1" ht="12.75" x14ac:dyDescent="0.2">
      <c r="A12" s="59"/>
      <c r="B12" s="59"/>
      <c r="C12" s="59"/>
      <c r="D12" s="59"/>
      <c r="E12" s="59"/>
      <c r="F12" s="59"/>
      <c r="G12" s="59"/>
      <c r="H12" s="59"/>
      <c r="K12" s="4"/>
    </row>
    <row r="13" spans="1:12" ht="11.25" x14ac:dyDescent="0.15">
      <c r="J13" s="4"/>
    </row>
    <row r="14" spans="1:12" ht="11.25" x14ac:dyDescent="0.15">
      <c r="J14" s="4"/>
    </row>
    <row r="15" spans="1:12" ht="11.25" x14ac:dyDescent="0.15">
      <c r="J15" s="4"/>
    </row>
    <row r="16" spans="1:12" ht="11.25" x14ac:dyDescent="0.15">
      <c r="J16" s="4"/>
    </row>
    <row r="17" spans="10:10" ht="11.25" x14ac:dyDescent="0.15">
      <c r="J17" s="4"/>
    </row>
    <row r="18" spans="10:10" ht="11.25" x14ac:dyDescent="0.15">
      <c r="J18" s="4"/>
    </row>
  </sheetData>
  <mergeCells count="3">
    <mergeCell ref="B3:G3"/>
    <mergeCell ref="A4:H4"/>
    <mergeCell ref="B5:H5"/>
  </mergeCells>
  <printOptions horizontalCentered="1"/>
  <pageMargins left="0.25" right="0.25" top="0.5" bottom="0.5" header="0.3" footer="0.05"/>
  <pageSetup orientation="landscape" horizontalDpi="4294967292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L18"/>
  <sheetViews>
    <sheetView view="pageBreakPreview" zoomScale="115" zoomScaleSheetLayoutView="115" workbookViewId="0">
      <selection sqref="A1:H5"/>
    </sheetView>
  </sheetViews>
  <sheetFormatPr defaultColWidth="9.140625" defaultRowHeight="15" x14ac:dyDescent="0.25"/>
  <cols>
    <col min="1" max="1" width="5.85546875" style="4" bestFit="1" customWidth="1"/>
    <col min="2" max="2" width="12.5703125" style="4" customWidth="1"/>
    <col min="3" max="3" width="32" style="4" customWidth="1"/>
    <col min="4" max="4" width="5" style="4" bestFit="1" customWidth="1"/>
    <col min="5" max="5" width="6.28515625" style="4" bestFit="1" customWidth="1"/>
    <col min="6" max="7" width="11.5703125" style="4" bestFit="1" customWidth="1"/>
    <col min="8" max="8" width="16.5703125" style="4" bestFit="1" customWidth="1"/>
    <col min="9" max="9" width="9.140625" style="1"/>
    <col min="11" max="11" width="13.28515625" style="4" bestFit="1" customWidth="1"/>
    <col min="12" max="16384" width="9.140625" style="4"/>
  </cols>
  <sheetData>
    <row r="1" spans="1:12" ht="25.5" x14ac:dyDescent="0.25">
      <c r="A1" s="95" t="s">
        <v>0</v>
      </c>
      <c r="B1" s="96" t="s">
        <v>5</v>
      </c>
      <c r="C1" s="96" t="s">
        <v>2</v>
      </c>
      <c r="D1" s="96" t="s">
        <v>3</v>
      </c>
      <c r="E1" s="96" t="s">
        <v>13</v>
      </c>
      <c r="F1" s="97" t="s">
        <v>11</v>
      </c>
      <c r="G1" s="97" t="s">
        <v>303</v>
      </c>
      <c r="H1" s="97" t="s">
        <v>12</v>
      </c>
      <c r="I1" s="40" t="s">
        <v>17</v>
      </c>
      <c r="K1" s="42" t="s">
        <v>312</v>
      </c>
      <c r="L1" s="4" t="s">
        <v>258</v>
      </c>
    </row>
    <row r="2" spans="1:12" s="59" customFormat="1" ht="114.75" x14ac:dyDescent="0.2">
      <c r="A2" s="51">
        <v>1</v>
      </c>
      <c r="B2" s="51" t="s">
        <v>269</v>
      </c>
      <c r="C2" s="63" t="s">
        <v>311</v>
      </c>
      <c r="D2" s="54" t="s">
        <v>109</v>
      </c>
      <c r="E2" s="51">
        <v>2</v>
      </c>
      <c r="F2" s="55">
        <v>415000</v>
      </c>
      <c r="G2" s="55">
        <f t="shared" ref="G2" si="0">F2*18%</f>
        <v>74700</v>
      </c>
      <c r="H2" s="56">
        <f t="shared" ref="H2" si="1">E2*(F2+G2)</f>
        <v>979400</v>
      </c>
      <c r="I2" s="89"/>
      <c r="K2" s="94">
        <v>1200</v>
      </c>
    </row>
    <row r="3" spans="1:12" ht="12.75" x14ac:dyDescent="0.15">
      <c r="A3" s="51">
        <v>2</v>
      </c>
      <c r="B3" s="337" t="s">
        <v>7</v>
      </c>
      <c r="C3" s="337"/>
      <c r="D3" s="337"/>
      <c r="E3" s="337"/>
      <c r="F3" s="337"/>
      <c r="G3" s="337"/>
      <c r="H3" s="57">
        <f>H2</f>
        <v>979400</v>
      </c>
      <c r="I3" s="46"/>
      <c r="J3" s="4"/>
      <c r="K3" s="47"/>
    </row>
    <row r="4" spans="1:12" ht="12.75" x14ac:dyDescent="0.15">
      <c r="A4" s="344"/>
      <c r="B4" s="345"/>
      <c r="C4" s="345"/>
      <c r="D4" s="345"/>
      <c r="E4" s="345"/>
      <c r="F4" s="345"/>
      <c r="G4" s="345"/>
      <c r="H4" s="346"/>
      <c r="J4" s="4"/>
    </row>
    <row r="5" spans="1:12" ht="140.25" x14ac:dyDescent="0.15">
      <c r="A5" s="58" t="s">
        <v>9</v>
      </c>
      <c r="B5" s="335" t="s">
        <v>265</v>
      </c>
      <c r="C5" s="335"/>
      <c r="D5" s="335"/>
      <c r="E5" s="335"/>
      <c r="F5" s="335"/>
      <c r="G5" s="335"/>
      <c r="H5" s="336"/>
      <c r="J5" s="4"/>
    </row>
    <row r="6" spans="1:12" ht="12.75" x14ac:dyDescent="0.2">
      <c r="A6" s="59"/>
      <c r="B6" s="59"/>
      <c r="C6" s="59"/>
      <c r="D6" s="59"/>
      <c r="E6" s="59"/>
      <c r="F6" s="59"/>
      <c r="G6" s="59"/>
      <c r="H6" s="59"/>
      <c r="J6" s="4"/>
    </row>
    <row r="7" spans="1:12" ht="12.75" x14ac:dyDescent="0.2">
      <c r="A7" s="59"/>
      <c r="B7" s="59"/>
      <c r="C7" s="59"/>
      <c r="D7" s="59"/>
      <c r="E7" s="59"/>
      <c r="F7" s="59"/>
      <c r="G7" s="59"/>
      <c r="H7" s="59"/>
      <c r="J7" s="4"/>
    </row>
    <row r="8" spans="1:12" ht="12.75" x14ac:dyDescent="0.2">
      <c r="A8" s="59"/>
      <c r="B8" s="59"/>
      <c r="C8" s="59"/>
      <c r="D8" s="59"/>
      <c r="E8" s="59"/>
      <c r="F8" s="59"/>
      <c r="G8" s="59"/>
      <c r="H8" s="59"/>
      <c r="J8" s="4"/>
    </row>
    <row r="9" spans="1:12" ht="12.75" x14ac:dyDescent="0.2">
      <c r="A9" s="59"/>
      <c r="B9" s="59"/>
      <c r="C9" s="59"/>
      <c r="D9" s="59"/>
      <c r="E9" s="59"/>
      <c r="F9" s="59"/>
      <c r="G9" s="59"/>
      <c r="H9" s="59"/>
      <c r="J9" s="4"/>
    </row>
    <row r="10" spans="1:12" ht="12.75" x14ac:dyDescent="0.2">
      <c r="A10" s="59"/>
      <c r="B10" s="59"/>
      <c r="C10" s="59"/>
      <c r="D10" s="59"/>
      <c r="E10" s="59"/>
      <c r="F10" s="59"/>
      <c r="G10" s="59"/>
      <c r="H10" s="59"/>
      <c r="J10" s="4"/>
    </row>
    <row r="11" spans="1:12" ht="12.75" x14ac:dyDescent="0.2">
      <c r="A11" s="59"/>
      <c r="B11" s="59"/>
      <c r="C11" s="59"/>
      <c r="D11" s="59"/>
      <c r="E11" s="59"/>
      <c r="F11" s="59"/>
      <c r="G11" s="59"/>
      <c r="H11" s="59"/>
      <c r="J11" s="4"/>
    </row>
    <row r="12" spans="1:12" s="1" customFormat="1" ht="12.75" x14ac:dyDescent="0.2">
      <c r="A12" s="59"/>
      <c r="B12" s="59"/>
      <c r="C12" s="59"/>
      <c r="D12" s="59"/>
      <c r="E12" s="59"/>
      <c r="F12" s="59"/>
      <c r="G12" s="59"/>
      <c r="H12" s="59"/>
      <c r="K12" s="4"/>
    </row>
    <row r="13" spans="1:12" ht="11.25" x14ac:dyDescent="0.15">
      <c r="J13" s="4"/>
    </row>
    <row r="14" spans="1:12" ht="11.25" x14ac:dyDescent="0.15">
      <c r="J14" s="4"/>
    </row>
    <row r="15" spans="1:12" ht="11.25" x14ac:dyDescent="0.15">
      <c r="J15" s="4"/>
    </row>
    <row r="16" spans="1:12" ht="11.25" x14ac:dyDescent="0.15">
      <c r="J16" s="4"/>
    </row>
    <row r="17" spans="10:10" ht="11.25" x14ac:dyDescent="0.15">
      <c r="J17" s="4"/>
    </row>
    <row r="18" spans="10:10" ht="11.25" x14ac:dyDescent="0.15">
      <c r="J18" s="4"/>
    </row>
  </sheetData>
  <mergeCells count="3">
    <mergeCell ref="B3:G3"/>
    <mergeCell ref="A4:H4"/>
    <mergeCell ref="B5:H5"/>
  </mergeCells>
  <printOptions horizontalCentered="1"/>
  <pageMargins left="0.25" right="0.25" top="0.5" bottom="0.5" header="0.3" footer="0.05"/>
  <pageSetup orientation="landscape" horizontalDpi="4294967292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L18"/>
  <sheetViews>
    <sheetView view="pageBreakPreview" zoomScale="115" zoomScaleSheetLayoutView="115" workbookViewId="0">
      <selection activeCell="C2" sqref="C2"/>
    </sheetView>
  </sheetViews>
  <sheetFormatPr defaultColWidth="9.140625" defaultRowHeight="15" x14ac:dyDescent="0.25"/>
  <cols>
    <col min="1" max="1" width="5.85546875" style="4" bestFit="1" customWidth="1"/>
    <col min="2" max="2" width="12.5703125" style="4" customWidth="1"/>
    <col min="3" max="3" width="32" style="4" customWidth="1"/>
    <col min="4" max="4" width="5" style="4" bestFit="1" customWidth="1"/>
    <col min="5" max="5" width="6.28515625" style="4" bestFit="1" customWidth="1"/>
    <col min="6" max="7" width="11.5703125" style="4" bestFit="1" customWidth="1"/>
    <col min="8" max="8" width="16.5703125" style="4" bestFit="1" customWidth="1"/>
    <col min="9" max="9" width="9.140625" style="1"/>
    <col min="11" max="11" width="13.28515625" style="4" bestFit="1" customWidth="1"/>
    <col min="12" max="16384" width="9.140625" style="4"/>
  </cols>
  <sheetData>
    <row r="1" spans="1:12" ht="25.5" x14ac:dyDescent="0.25">
      <c r="A1" s="95" t="s">
        <v>0</v>
      </c>
      <c r="B1" s="96" t="s">
        <v>5</v>
      </c>
      <c r="C1" s="96" t="s">
        <v>2</v>
      </c>
      <c r="D1" s="96" t="s">
        <v>3</v>
      </c>
      <c r="E1" s="96" t="s">
        <v>13</v>
      </c>
      <c r="F1" s="97" t="s">
        <v>11</v>
      </c>
      <c r="G1" s="97" t="s">
        <v>303</v>
      </c>
      <c r="H1" s="97" t="s">
        <v>12</v>
      </c>
      <c r="I1" s="40" t="s">
        <v>17</v>
      </c>
      <c r="K1" s="42" t="s">
        <v>10</v>
      </c>
      <c r="L1" s="4" t="s">
        <v>258</v>
      </c>
    </row>
    <row r="2" spans="1:12" s="59" customFormat="1" ht="76.5" x14ac:dyDescent="0.2">
      <c r="A2" s="51">
        <v>1</v>
      </c>
      <c r="B2" s="51" t="s">
        <v>269</v>
      </c>
      <c r="C2" s="63" t="s">
        <v>314</v>
      </c>
      <c r="D2" s="54" t="s">
        <v>109</v>
      </c>
      <c r="E2" s="51">
        <v>6</v>
      </c>
      <c r="F2" s="55">
        <f>I2*85*1.32</f>
        <v>10659</v>
      </c>
      <c r="G2" s="55">
        <f t="shared" ref="G2" si="0">F2*18%</f>
        <v>1918.62</v>
      </c>
      <c r="H2" s="56">
        <f t="shared" ref="H2" si="1">E2*(F2+G2)</f>
        <v>75465.72</v>
      </c>
      <c r="I2" s="89">
        <v>95</v>
      </c>
      <c r="K2" s="94">
        <v>85</v>
      </c>
    </row>
    <row r="3" spans="1:12" ht="12.75" x14ac:dyDescent="0.15">
      <c r="A3" s="51">
        <v>2</v>
      </c>
      <c r="B3" s="337" t="s">
        <v>7</v>
      </c>
      <c r="C3" s="337"/>
      <c r="D3" s="337"/>
      <c r="E3" s="337"/>
      <c r="F3" s="337"/>
      <c r="G3" s="337"/>
      <c r="H3" s="57">
        <f>H2</f>
        <v>75465.72</v>
      </c>
      <c r="I3" s="46"/>
      <c r="J3" s="4"/>
      <c r="K3" s="47"/>
    </row>
    <row r="4" spans="1:12" ht="12.75" x14ac:dyDescent="0.15">
      <c r="A4" s="344"/>
      <c r="B4" s="345"/>
      <c r="C4" s="345"/>
      <c r="D4" s="345"/>
      <c r="E4" s="345"/>
      <c r="F4" s="345"/>
      <c r="G4" s="345"/>
      <c r="H4" s="346"/>
      <c r="J4" s="4"/>
    </row>
    <row r="5" spans="1:12" ht="140.25" x14ac:dyDescent="0.15">
      <c r="A5" s="58" t="s">
        <v>9</v>
      </c>
      <c r="B5" s="335" t="s">
        <v>265</v>
      </c>
      <c r="C5" s="335"/>
      <c r="D5" s="335"/>
      <c r="E5" s="335"/>
      <c r="F5" s="335"/>
      <c r="G5" s="335"/>
      <c r="H5" s="336"/>
      <c r="J5" s="4"/>
    </row>
    <row r="6" spans="1:12" ht="12.75" x14ac:dyDescent="0.2">
      <c r="A6" s="59"/>
      <c r="B6" s="59"/>
      <c r="C6" s="59"/>
      <c r="D6" s="59"/>
      <c r="E6" s="59"/>
      <c r="F6" s="59"/>
      <c r="G6" s="59"/>
      <c r="H6" s="59"/>
      <c r="J6" s="4"/>
    </row>
    <row r="7" spans="1:12" ht="12.75" x14ac:dyDescent="0.2">
      <c r="A7" s="59"/>
      <c r="B7" s="59"/>
      <c r="C7" s="59"/>
      <c r="D7" s="59"/>
      <c r="E7" s="59"/>
      <c r="F7" s="59"/>
      <c r="G7" s="59"/>
      <c r="H7" s="59"/>
      <c r="J7" s="4"/>
    </row>
    <row r="8" spans="1:12" ht="12.75" x14ac:dyDescent="0.2">
      <c r="A8" s="59"/>
      <c r="B8" s="59"/>
      <c r="C8" s="59"/>
      <c r="D8" s="59"/>
      <c r="E8" s="59"/>
      <c r="F8" s="59"/>
      <c r="G8" s="59"/>
      <c r="H8" s="59"/>
      <c r="J8" s="4"/>
    </row>
    <row r="9" spans="1:12" ht="12.75" x14ac:dyDescent="0.2">
      <c r="A9" s="59"/>
      <c r="B9" s="59"/>
      <c r="C9" s="59"/>
      <c r="D9" s="59"/>
      <c r="E9" s="59"/>
      <c r="F9" s="59"/>
      <c r="G9" s="59"/>
      <c r="H9" s="59"/>
      <c r="J9" s="4"/>
    </row>
    <row r="10" spans="1:12" ht="12.75" x14ac:dyDescent="0.2">
      <c r="A10" s="59"/>
      <c r="B10" s="59"/>
      <c r="C10" s="59"/>
      <c r="D10" s="59"/>
      <c r="E10" s="59"/>
      <c r="F10" s="59"/>
      <c r="G10" s="59"/>
      <c r="H10" s="59"/>
      <c r="J10" s="4"/>
    </row>
    <row r="11" spans="1:12" ht="12.75" x14ac:dyDescent="0.2">
      <c r="A11" s="59"/>
      <c r="B11" s="59"/>
      <c r="C11" s="59"/>
      <c r="D11" s="59"/>
      <c r="E11" s="59"/>
      <c r="F11" s="59"/>
      <c r="G11" s="59"/>
      <c r="H11" s="59"/>
      <c r="J11" s="4"/>
    </row>
    <row r="12" spans="1:12" s="1" customFormat="1" ht="12.75" x14ac:dyDescent="0.2">
      <c r="A12" s="59"/>
      <c r="B12" s="59"/>
      <c r="C12" s="59"/>
      <c r="D12" s="59"/>
      <c r="E12" s="59"/>
      <c r="F12" s="59"/>
      <c r="G12" s="59"/>
      <c r="H12" s="59"/>
      <c r="K12" s="4"/>
    </row>
    <row r="13" spans="1:12" ht="11.25" x14ac:dyDescent="0.15">
      <c r="J13" s="4"/>
    </row>
    <row r="14" spans="1:12" ht="11.25" x14ac:dyDescent="0.15">
      <c r="J14" s="4"/>
    </row>
    <row r="15" spans="1:12" ht="11.25" x14ac:dyDescent="0.15">
      <c r="J15" s="4"/>
    </row>
    <row r="16" spans="1:12" ht="11.25" x14ac:dyDescent="0.15">
      <c r="J16" s="4"/>
    </row>
    <row r="17" spans="10:10" ht="11.25" x14ac:dyDescent="0.15">
      <c r="J17" s="4"/>
    </row>
    <row r="18" spans="10:10" ht="11.25" x14ac:dyDescent="0.15">
      <c r="J18" s="4"/>
    </row>
  </sheetData>
  <mergeCells count="3">
    <mergeCell ref="B3:G3"/>
    <mergeCell ref="A4:H4"/>
    <mergeCell ref="B5:H5"/>
  </mergeCells>
  <printOptions horizontalCentered="1"/>
  <pageMargins left="0.25" right="0.25" top="0.5" bottom="0.5" header="0.3" footer="0.05"/>
  <pageSetup orientation="landscape" horizontalDpi="4294967292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L24"/>
  <sheetViews>
    <sheetView topLeftCell="A4" zoomScaleNormal="100" zoomScaleSheetLayoutView="115" workbookViewId="0">
      <selection activeCell="G5" sqref="G5"/>
    </sheetView>
  </sheetViews>
  <sheetFormatPr defaultColWidth="9.140625" defaultRowHeight="12.75" x14ac:dyDescent="0.2"/>
  <cols>
    <col min="1" max="1" width="5.85546875" style="105" bestFit="1" customWidth="1"/>
    <col min="2" max="2" width="12.5703125" style="105" customWidth="1"/>
    <col min="3" max="3" width="32" style="105" customWidth="1"/>
    <col min="4" max="4" width="5" style="105" bestFit="1" customWidth="1"/>
    <col min="5" max="5" width="6.28515625" style="105" bestFit="1" customWidth="1"/>
    <col min="6" max="7" width="11.5703125" style="105" bestFit="1" customWidth="1"/>
    <col min="8" max="8" width="16.5703125" style="105" bestFit="1" customWidth="1"/>
    <col min="9" max="9" width="9.140625" style="106"/>
    <col min="10" max="10" width="9.140625" style="59"/>
    <col min="11" max="11" width="13.28515625" style="105" bestFit="1" customWidth="1"/>
    <col min="12" max="16384" width="9.140625" style="105"/>
  </cols>
  <sheetData>
    <row r="1" spans="1:12" ht="25.5" x14ac:dyDescent="0.2">
      <c r="A1" s="48" t="s">
        <v>0</v>
      </c>
      <c r="B1" s="49" t="s">
        <v>5</v>
      </c>
      <c r="C1" s="49" t="s">
        <v>2</v>
      </c>
      <c r="D1" s="49" t="s">
        <v>3</v>
      </c>
      <c r="E1" s="49" t="s">
        <v>13</v>
      </c>
      <c r="F1" s="50" t="s">
        <v>11</v>
      </c>
      <c r="G1" s="50" t="s">
        <v>303</v>
      </c>
      <c r="H1" s="50" t="s">
        <v>12</v>
      </c>
      <c r="I1" s="40" t="s">
        <v>17</v>
      </c>
      <c r="J1" s="59" t="s">
        <v>110</v>
      </c>
      <c r="K1" s="42" t="s">
        <v>10</v>
      </c>
      <c r="L1" s="105" t="s">
        <v>258</v>
      </c>
    </row>
    <row r="2" spans="1:12" s="59" customFormat="1" ht="51" x14ac:dyDescent="0.2">
      <c r="A2" s="51">
        <v>1</v>
      </c>
      <c r="B2" s="51">
        <v>7304000097</v>
      </c>
      <c r="C2" s="63" t="s">
        <v>351</v>
      </c>
      <c r="D2" s="54" t="s">
        <v>109</v>
      </c>
      <c r="E2" s="51">
        <v>2</v>
      </c>
      <c r="F2" s="103">
        <v>3856</v>
      </c>
      <c r="G2" s="55">
        <f t="shared" ref="G2" si="0">F2*18%</f>
        <v>694.07999999999993</v>
      </c>
      <c r="H2" s="56">
        <f t="shared" ref="H2" si="1">E2*(F2+G2)</f>
        <v>9100.16</v>
      </c>
      <c r="I2" s="89"/>
      <c r="J2" s="59">
        <v>25</v>
      </c>
      <c r="K2" s="94"/>
    </row>
    <row r="3" spans="1:12" s="59" customFormat="1" ht="51" x14ac:dyDescent="0.2">
      <c r="A3" s="51">
        <v>2</v>
      </c>
      <c r="B3" s="51">
        <v>3602000137</v>
      </c>
      <c r="C3" s="63" t="s">
        <v>315</v>
      </c>
      <c r="D3" s="54" t="s">
        <v>109</v>
      </c>
      <c r="E3" s="51">
        <v>2</v>
      </c>
      <c r="F3" s="103">
        <v>3250</v>
      </c>
      <c r="G3" s="55">
        <f t="shared" ref="G3" si="2">F3*18%</f>
        <v>585</v>
      </c>
      <c r="H3" s="56">
        <f t="shared" ref="H3" si="3">E3*(F3+G3)</f>
        <v>7670</v>
      </c>
      <c r="I3" s="89"/>
      <c r="K3" s="94"/>
    </row>
    <row r="4" spans="1:12" s="59" customFormat="1" ht="25.5" x14ac:dyDescent="0.2">
      <c r="A4" s="51">
        <v>3</v>
      </c>
      <c r="B4" s="51">
        <v>7201000002</v>
      </c>
      <c r="C4" s="63" t="s">
        <v>316</v>
      </c>
      <c r="D4" s="54" t="s">
        <v>109</v>
      </c>
      <c r="E4" s="51">
        <v>4</v>
      </c>
      <c r="F4" s="55">
        <f>I4*88*1.33</f>
        <v>37452.800000000003</v>
      </c>
      <c r="G4" s="55">
        <f t="shared" ref="G4:G7" si="4">F4*18%</f>
        <v>6741.5039999999999</v>
      </c>
      <c r="H4" s="56">
        <f t="shared" ref="H4:H8" si="5">E4*(F4+G4)</f>
        <v>176777.21600000001</v>
      </c>
      <c r="I4" s="89">
        <v>320</v>
      </c>
      <c r="J4" s="59">
        <v>270</v>
      </c>
      <c r="K4" s="94"/>
    </row>
    <row r="5" spans="1:12" s="59" customFormat="1" ht="38.25" x14ac:dyDescent="0.2">
      <c r="A5" s="51">
        <v>4</v>
      </c>
      <c r="B5" s="51">
        <v>6001000041</v>
      </c>
      <c r="C5" s="63" t="s">
        <v>102</v>
      </c>
      <c r="D5" s="54" t="s">
        <v>109</v>
      </c>
      <c r="E5" s="51">
        <v>64</v>
      </c>
      <c r="F5" s="55">
        <v>2500</v>
      </c>
      <c r="G5" s="55">
        <f t="shared" si="4"/>
        <v>450</v>
      </c>
      <c r="H5" s="56">
        <f t="shared" si="5"/>
        <v>188800</v>
      </c>
      <c r="I5" s="89"/>
      <c r="K5" s="94"/>
    </row>
    <row r="6" spans="1:12" s="59" customFormat="1" ht="38.25" x14ac:dyDescent="0.2">
      <c r="A6" s="51">
        <v>5</v>
      </c>
      <c r="B6" s="51">
        <v>6001000042</v>
      </c>
      <c r="C6" s="63" t="s">
        <v>103</v>
      </c>
      <c r="D6" s="54" t="s">
        <v>109</v>
      </c>
      <c r="E6" s="51">
        <v>64</v>
      </c>
      <c r="F6" s="55">
        <v>4000</v>
      </c>
      <c r="G6" s="55">
        <f t="shared" ref="G6" si="6">F6*18%</f>
        <v>720</v>
      </c>
      <c r="H6" s="56">
        <f t="shared" ref="H6" si="7">E6*(F6+G6)</f>
        <v>302080</v>
      </c>
      <c r="I6" s="89"/>
      <c r="K6" s="94"/>
    </row>
    <row r="7" spans="1:12" s="59" customFormat="1" ht="38.25" x14ac:dyDescent="0.2">
      <c r="A7" s="51">
        <v>6</v>
      </c>
      <c r="B7" s="51">
        <v>5301000001</v>
      </c>
      <c r="C7" s="63" t="s">
        <v>214</v>
      </c>
      <c r="D7" s="54" t="s">
        <v>109</v>
      </c>
      <c r="E7" s="51">
        <v>20</v>
      </c>
      <c r="F7" s="55">
        <f>I7*88*1.33</f>
        <v>1404.48</v>
      </c>
      <c r="G7" s="55">
        <f t="shared" si="4"/>
        <v>252.8064</v>
      </c>
      <c r="H7" s="56">
        <f t="shared" si="5"/>
        <v>33145.728000000003</v>
      </c>
      <c r="I7" s="89">
        <v>12</v>
      </c>
      <c r="J7" s="59">
        <v>10</v>
      </c>
      <c r="K7" s="94"/>
    </row>
    <row r="8" spans="1:12" s="59" customFormat="1" ht="51" x14ac:dyDescent="0.2">
      <c r="A8" s="51">
        <v>7</v>
      </c>
      <c r="B8" s="51">
        <v>5201030028</v>
      </c>
      <c r="C8" s="63" t="s">
        <v>170</v>
      </c>
      <c r="D8" s="54" t="s">
        <v>109</v>
      </c>
      <c r="E8" s="51">
        <v>20</v>
      </c>
      <c r="F8" s="55">
        <f>I8*88*1.33</f>
        <v>14044.800000000001</v>
      </c>
      <c r="G8" s="55">
        <f t="shared" ref="G8" si="8">F8*18%</f>
        <v>2528.0640000000003</v>
      </c>
      <c r="H8" s="56">
        <f t="shared" si="5"/>
        <v>331457.28000000003</v>
      </c>
      <c r="I8" s="89">
        <v>120</v>
      </c>
      <c r="J8" s="59">
        <v>115</v>
      </c>
      <c r="K8" s="94"/>
    </row>
    <row r="9" spans="1:12" x14ac:dyDescent="0.2">
      <c r="A9" s="51">
        <v>8</v>
      </c>
      <c r="B9" s="343" t="s">
        <v>7</v>
      </c>
      <c r="C9" s="343"/>
      <c r="D9" s="343"/>
      <c r="E9" s="343"/>
      <c r="F9" s="343"/>
      <c r="G9" s="343"/>
      <c r="H9" s="107">
        <f>SUM(H3:H8)</f>
        <v>1039930.224</v>
      </c>
      <c r="I9" s="46"/>
      <c r="J9" s="105"/>
      <c r="K9" s="47"/>
    </row>
    <row r="10" spans="1:12" x14ac:dyDescent="0.2">
      <c r="A10" s="344"/>
      <c r="B10" s="345"/>
      <c r="C10" s="345"/>
      <c r="D10" s="345"/>
      <c r="E10" s="345"/>
      <c r="F10" s="345"/>
      <c r="G10" s="345"/>
      <c r="H10" s="346"/>
      <c r="J10" s="105"/>
    </row>
    <row r="11" spans="1:12" ht="140.25" x14ac:dyDescent="0.2">
      <c r="A11" s="58" t="s">
        <v>9</v>
      </c>
      <c r="B11" s="335" t="s">
        <v>265</v>
      </c>
      <c r="C11" s="335"/>
      <c r="D11" s="335"/>
      <c r="E11" s="335"/>
      <c r="F11" s="335"/>
      <c r="G11" s="335"/>
      <c r="H11" s="336"/>
      <c r="J11" s="105"/>
    </row>
    <row r="12" spans="1:12" x14ac:dyDescent="0.2">
      <c r="A12" s="59"/>
      <c r="B12" s="59"/>
      <c r="C12" s="59"/>
      <c r="D12" s="59"/>
      <c r="E12" s="59"/>
      <c r="F12" s="59"/>
      <c r="G12" s="59"/>
      <c r="H12" s="59"/>
      <c r="J12" s="105"/>
    </row>
    <row r="13" spans="1:12" x14ac:dyDescent="0.2">
      <c r="A13" s="59"/>
      <c r="B13" s="59"/>
      <c r="C13" s="59"/>
      <c r="D13" s="59"/>
      <c r="E13" s="59"/>
      <c r="F13" s="59"/>
      <c r="G13" s="59"/>
      <c r="H13" s="59"/>
      <c r="J13" s="105"/>
    </row>
    <row r="14" spans="1:12" x14ac:dyDescent="0.2">
      <c r="A14" s="59"/>
      <c r="B14" s="59"/>
      <c r="C14" s="59"/>
      <c r="D14" s="59"/>
      <c r="E14" s="59"/>
      <c r="F14" s="59"/>
      <c r="G14" s="59"/>
      <c r="H14" s="59"/>
      <c r="J14" s="105"/>
    </row>
    <row r="15" spans="1:12" x14ac:dyDescent="0.2">
      <c r="A15" s="59"/>
      <c r="B15" s="59"/>
      <c r="C15" s="59"/>
      <c r="D15" s="59"/>
      <c r="E15" s="59"/>
      <c r="F15" s="59"/>
      <c r="G15" s="59"/>
      <c r="H15" s="59"/>
      <c r="J15" s="105"/>
    </row>
    <row r="16" spans="1:12" x14ac:dyDescent="0.2">
      <c r="A16" s="59"/>
      <c r="B16" s="59"/>
      <c r="C16" s="59"/>
      <c r="D16" s="59"/>
      <c r="E16" s="59"/>
      <c r="F16" s="59"/>
      <c r="G16" s="59"/>
      <c r="H16" s="59"/>
      <c r="J16" s="105"/>
    </row>
    <row r="17" spans="1:11" x14ac:dyDescent="0.2">
      <c r="A17" s="59"/>
      <c r="B17" s="59"/>
      <c r="C17" s="59"/>
      <c r="D17" s="59"/>
      <c r="E17" s="59"/>
      <c r="F17" s="59"/>
      <c r="G17" s="59"/>
      <c r="H17" s="59"/>
      <c r="J17" s="105"/>
    </row>
    <row r="18" spans="1:11" s="106" customFormat="1" x14ac:dyDescent="0.2">
      <c r="A18" s="59"/>
      <c r="B18" s="59"/>
      <c r="C18" s="59"/>
      <c r="D18" s="59"/>
      <c r="E18" s="59"/>
      <c r="F18" s="59"/>
      <c r="G18" s="59"/>
      <c r="H18" s="59"/>
      <c r="K18" s="105"/>
    </row>
    <row r="19" spans="1:11" x14ac:dyDescent="0.2">
      <c r="J19" s="105"/>
    </row>
    <row r="20" spans="1:11" x14ac:dyDescent="0.2">
      <c r="J20" s="105"/>
    </row>
    <row r="21" spans="1:11" x14ac:dyDescent="0.2">
      <c r="J21" s="105"/>
    </row>
    <row r="22" spans="1:11" x14ac:dyDescent="0.2">
      <c r="J22" s="105"/>
    </row>
    <row r="23" spans="1:11" x14ac:dyDescent="0.2">
      <c r="J23" s="105"/>
    </row>
    <row r="24" spans="1:11" x14ac:dyDescent="0.2">
      <c r="J24" s="105"/>
    </row>
  </sheetData>
  <mergeCells count="3">
    <mergeCell ref="B9:G9"/>
    <mergeCell ref="A10:H10"/>
    <mergeCell ref="B11:H11"/>
  </mergeCells>
  <printOptions horizontalCentered="1"/>
  <pageMargins left="0.25" right="0.25" top="0.5" bottom="0.5" header="0.3" footer="0.05"/>
  <pageSetup scale="79" orientation="landscape" horizontalDpi="4294967292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"/>
  <sheetViews>
    <sheetView workbookViewId="0">
      <selection activeCell="H9" sqref="H9"/>
    </sheetView>
  </sheetViews>
  <sheetFormatPr defaultRowHeight="15" x14ac:dyDescent="0.25"/>
  <sheetData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N26"/>
  <sheetViews>
    <sheetView zoomScale="97" zoomScaleNormal="100" zoomScaleSheetLayoutView="115" workbookViewId="0">
      <selection activeCell="C4" sqref="C4"/>
    </sheetView>
  </sheetViews>
  <sheetFormatPr defaultColWidth="9.140625" defaultRowHeight="12.75" x14ac:dyDescent="0.2"/>
  <cols>
    <col min="1" max="1" width="5.85546875" style="105" bestFit="1" customWidth="1"/>
    <col min="2" max="2" width="12.5703125" style="105" customWidth="1"/>
    <col min="3" max="3" width="32" style="105" customWidth="1"/>
    <col min="4" max="4" width="5" style="105" bestFit="1" customWidth="1"/>
    <col min="5" max="5" width="6.28515625" style="105" bestFit="1" customWidth="1"/>
    <col min="6" max="7" width="11.5703125" style="105" bestFit="1" customWidth="1"/>
    <col min="8" max="8" width="16.5703125" style="105" bestFit="1" customWidth="1"/>
    <col min="9" max="9" width="9.140625" style="106"/>
    <col min="10" max="10" width="9.140625" style="59"/>
    <col min="11" max="11" width="13.28515625" style="105" bestFit="1" customWidth="1"/>
    <col min="12" max="12" width="9.140625" style="105"/>
    <col min="13" max="13" width="10.85546875" style="105" bestFit="1" customWidth="1"/>
    <col min="14" max="16384" width="9.140625" style="105"/>
  </cols>
  <sheetData>
    <row r="1" spans="1:14" ht="25.5" x14ac:dyDescent="0.2">
      <c r="A1" s="48" t="s">
        <v>0</v>
      </c>
      <c r="B1" s="49" t="s">
        <v>5</v>
      </c>
      <c r="C1" s="49" t="s">
        <v>2</v>
      </c>
      <c r="D1" s="49" t="s">
        <v>3</v>
      </c>
      <c r="E1" s="49" t="s">
        <v>13</v>
      </c>
      <c r="F1" s="50" t="s">
        <v>11</v>
      </c>
      <c r="G1" s="50" t="s">
        <v>303</v>
      </c>
      <c r="H1" s="50" t="s">
        <v>12</v>
      </c>
      <c r="I1" s="40" t="s">
        <v>17</v>
      </c>
      <c r="J1" s="59" t="s">
        <v>110</v>
      </c>
      <c r="K1" s="42" t="s">
        <v>10</v>
      </c>
      <c r="L1" s="105" t="s">
        <v>14</v>
      </c>
      <c r="M1" s="105" t="s">
        <v>359</v>
      </c>
      <c r="N1" s="105" t="s">
        <v>273</v>
      </c>
    </row>
    <row r="2" spans="1:14" s="59" customFormat="1" x14ac:dyDescent="0.2">
      <c r="A2" s="51">
        <v>1</v>
      </c>
      <c r="B2" s="51">
        <v>3601000073</v>
      </c>
      <c r="C2" s="108" t="s">
        <v>318</v>
      </c>
      <c r="D2" s="51" t="s">
        <v>109</v>
      </c>
      <c r="E2" s="51">
        <v>12</v>
      </c>
      <c r="F2" s="55">
        <f>I2*85*1.33</f>
        <v>8704.85</v>
      </c>
      <c r="G2" s="55">
        <f t="shared" ref="G2:G10" si="0">F2*18%</f>
        <v>1566.873</v>
      </c>
      <c r="H2" s="56">
        <f t="shared" ref="H2" si="1">E2*(F2+G2)</f>
        <v>123260.67600000001</v>
      </c>
      <c r="I2" s="89">
        <v>77</v>
      </c>
      <c r="J2" s="59">
        <v>44</v>
      </c>
      <c r="K2" s="94">
        <v>77</v>
      </c>
      <c r="M2" s="59">
        <f>N2/112</f>
        <v>63.732142857142854</v>
      </c>
      <c r="N2" s="59">
        <v>7138</v>
      </c>
    </row>
    <row r="3" spans="1:14" s="59" customFormat="1" x14ac:dyDescent="0.2">
      <c r="A3" s="51">
        <v>2</v>
      </c>
      <c r="B3" s="51">
        <v>3601000075</v>
      </c>
      <c r="C3" s="108" t="s">
        <v>319</v>
      </c>
      <c r="D3" s="51" t="s">
        <v>109</v>
      </c>
      <c r="E3" s="51">
        <v>12</v>
      </c>
      <c r="F3" s="55">
        <f>I3*85*1.33</f>
        <v>29393</v>
      </c>
      <c r="G3" s="55">
        <f>F3*18%</f>
        <v>5290.74</v>
      </c>
      <c r="H3" s="56">
        <f>E3*(F3+G3)</f>
        <v>416204.88</v>
      </c>
      <c r="I3" s="89">
        <v>260</v>
      </c>
      <c r="J3" s="59">
        <v>169</v>
      </c>
      <c r="K3" s="94">
        <v>770</v>
      </c>
      <c r="M3" s="59">
        <f t="shared" ref="M3:M10" si="2">N3/112</f>
        <v>258.92857142857144</v>
      </c>
      <c r="N3" s="59">
        <v>29000</v>
      </c>
    </row>
    <row r="4" spans="1:14" s="59" customFormat="1" x14ac:dyDescent="0.2">
      <c r="A4" s="51">
        <v>3</v>
      </c>
      <c r="B4" s="51">
        <v>3601000007</v>
      </c>
      <c r="C4" s="108" t="s">
        <v>320</v>
      </c>
      <c r="D4" s="51" t="s">
        <v>109</v>
      </c>
      <c r="E4" s="51">
        <v>1</v>
      </c>
      <c r="F4" s="55">
        <f t="shared" ref="F4:F10" si="3">I4*85*1.33</f>
        <v>19783.75</v>
      </c>
      <c r="G4" s="55">
        <f t="shared" si="0"/>
        <v>3561.0749999999998</v>
      </c>
      <c r="H4" s="56">
        <f t="shared" ref="H4:H10" si="4">E4*(F4+G4)</f>
        <v>23344.825000000001</v>
      </c>
      <c r="I4" s="89">
        <v>175</v>
      </c>
      <c r="K4" s="94">
        <v>358</v>
      </c>
      <c r="M4" s="59">
        <f t="shared" si="2"/>
        <v>165.17857142857142</v>
      </c>
      <c r="N4" s="59">
        <v>18500</v>
      </c>
    </row>
    <row r="5" spans="1:14" s="59" customFormat="1" x14ac:dyDescent="0.2">
      <c r="A5" s="51">
        <v>4</v>
      </c>
      <c r="B5" s="51">
        <v>3601000049</v>
      </c>
      <c r="C5" s="108" t="s">
        <v>321</v>
      </c>
      <c r="D5" s="51" t="s">
        <v>109</v>
      </c>
      <c r="E5" s="51">
        <v>6</v>
      </c>
      <c r="F5" s="55">
        <f t="shared" si="3"/>
        <v>3165.4</v>
      </c>
      <c r="G5" s="55">
        <f t="shared" si="0"/>
        <v>569.77200000000005</v>
      </c>
      <c r="H5" s="56">
        <f t="shared" si="4"/>
        <v>22411.031999999999</v>
      </c>
      <c r="I5" s="89">
        <v>28</v>
      </c>
      <c r="K5" s="94">
        <v>28</v>
      </c>
      <c r="M5" s="59">
        <f t="shared" si="2"/>
        <v>20.535714285714285</v>
      </c>
      <c r="N5" s="59">
        <v>2300</v>
      </c>
    </row>
    <row r="6" spans="1:14" s="59" customFormat="1" x14ac:dyDescent="0.2">
      <c r="A6" s="51">
        <v>5</v>
      </c>
      <c r="B6" s="51">
        <v>3601000050</v>
      </c>
      <c r="C6" s="108" t="s">
        <v>322</v>
      </c>
      <c r="D6" s="51" t="s">
        <v>109</v>
      </c>
      <c r="E6" s="51">
        <v>6</v>
      </c>
      <c r="F6" s="55">
        <f t="shared" si="3"/>
        <v>3391.5</v>
      </c>
      <c r="G6" s="55">
        <f t="shared" si="0"/>
        <v>610.47</v>
      </c>
      <c r="H6" s="56">
        <f t="shared" si="4"/>
        <v>24011.82</v>
      </c>
      <c r="I6" s="89">
        <v>30</v>
      </c>
      <c r="K6" s="94">
        <v>35</v>
      </c>
      <c r="M6" s="59">
        <f t="shared" si="2"/>
        <v>20.535714285714285</v>
      </c>
      <c r="N6" s="59">
        <v>2300</v>
      </c>
    </row>
    <row r="7" spans="1:14" s="59" customFormat="1" x14ac:dyDescent="0.2">
      <c r="A7" s="51">
        <v>6</v>
      </c>
      <c r="B7" s="51">
        <v>3601000024</v>
      </c>
      <c r="C7" s="108" t="s">
        <v>323</v>
      </c>
      <c r="D7" s="51" t="s">
        <v>109</v>
      </c>
      <c r="E7" s="51">
        <v>2</v>
      </c>
      <c r="F7" s="55">
        <f>I7*85*1.3</f>
        <v>162987.5</v>
      </c>
      <c r="G7" s="55">
        <f t="shared" si="0"/>
        <v>29337.75</v>
      </c>
      <c r="H7" s="56">
        <f t="shared" si="4"/>
        <v>384650.5</v>
      </c>
      <c r="I7" s="89">
        <v>1475</v>
      </c>
      <c r="K7" s="94">
        <v>3140</v>
      </c>
      <c r="M7" s="59">
        <v>2157</v>
      </c>
      <c r="N7" s="59">
        <f>M7*113</f>
        <v>243741</v>
      </c>
    </row>
    <row r="8" spans="1:14" s="59" customFormat="1" x14ac:dyDescent="0.2">
      <c r="A8" s="51">
        <v>7</v>
      </c>
      <c r="B8" s="51">
        <v>3502000012</v>
      </c>
      <c r="C8" s="108" t="s">
        <v>324</v>
      </c>
      <c r="D8" s="51" t="s">
        <v>109</v>
      </c>
      <c r="E8" s="51">
        <v>3</v>
      </c>
      <c r="F8" s="55">
        <f t="shared" si="3"/>
        <v>321966.40000000002</v>
      </c>
      <c r="G8" s="55">
        <f t="shared" si="0"/>
        <v>57953.952000000005</v>
      </c>
      <c r="H8" s="56">
        <f t="shared" si="4"/>
        <v>1139761.0560000001</v>
      </c>
      <c r="I8" s="89">
        <v>2848</v>
      </c>
      <c r="K8" s="94">
        <v>2848</v>
      </c>
      <c r="L8" s="59">
        <f>17671/7</f>
        <v>2524.4285714285716</v>
      </c>
      <c r="M8" s="59">
        <f t="shared" si="2"/>
        <v>1071.4285714285713</v>
      </c>
      <c r="N8" s="59">
        <v>120000</v>
      </c>
    </row>
    <row r="9" spans="1:14" s="59" customFormat="1" x14ac:dyDescent="0.2">
      <c r="A9" s="51">
        <v>8</v>
      </c>
      <c r="B9" s="51">
        <v>3502000037</v>
      </c>
      <c r="C9" s="108" t="s">
        <v>325</v>
      </c>
      <c r="D9" s="51" t="s">
        <v>109</v>
      </c>
      <c r="E9" s="51">
        <v>1</v>
      </c>
      <c r="F9" s="55">
        <f t="shared" si="3"/>
        <v>316540</v>
      </c>
      <c r="G9" s="55">
        <f t="shared" si="0"/>
        <v>56977.2</v>
      </c>
      <c r="H9" s="56">
        <f t="shared" si="4"/>
        <v>373517.2</v>
      </c>
      <c r="I9" s="89">
        <v>2800</v>
      </c>
      <c r="K9" s="94">
        <v>2800</v>
      </c>
      <c r="L9" s="59">
        <f>17451/7</f>
        <v>2493</v>
      </c>
      <c r="M9" s="59">
        <f t="shared" si="2"/>
        <v>1071.4285714285713</v>
      </c>
      <c r="N9" s="59">
        <v>120000</v>
      </c>
    </row>
    <row r="10" spans="1:14" s="59" customFormat="1" x14ac:dyDescent="0.2">
      <c r="A10" s="51">
        <v>9</v>
      </c>
      <c r="B10" s="51">
        <v>3502000067</v>
      </c>
      <c r="C10" s="108" t="s">
        <v>326</v>
      </c>
      <c r="D10" s="51" t="s">
        <v>109</v>
      </c>
      <c r="E10" s="51">
        <v>1</v>
      </c>
      <c r="F10" s="55">
        <f t="shared" si="3"/>
        <v>531335</v>
      </c>
      <c r="G10" s="55">
        <f t="shared" si="0"/>
        <v>95640.3</v>
      </c>
      <c r="H10" s="56">
        <f t="shared" si="4"/>
        <v>626975.30000000005</v>
      </c>
      <c r="I10" s="89">
        <v>4700</v>
      </c>
      <c r="K10" s="94">
        <v>4700</v>
      </c>
      <c r="L10" s="59">
        <f>29484/7</f>
        <v>4212</v>
      </c>
      <c r="M10" s="59">
        <f t="shared" si="2"/>
        <v>1651.7857142857142</v>
      </c>
      <c r="N10" s="59">
        <v>185000</v>
      </c>
    </row>
    <row r="11" spans="1:14" x14ac:dyDescent="0.2">
      <c r="A11" s="51">
        <v>10</v>
      </c>
      <c r="B11" s="343" t="s">
        <v>7</v>
      </c>
      <c r="C11" s="343"/>
      <c r="D11" s="343"/>
      <c r="E11" s="343"/>
      <c r="F11" s="343"/>
      <c r="G11" s="343"/>
      <c r="H11" s="107">
        <f>SUM(H2:H10)</f>
        <v>3134137.2889999999</v>
      </c>
      <c r="I11" s="46"/>
      <c r="J11" s="105"/>
      <c r="K11" s="47"/>
    </row>
    <row r="12" spans="1:14" x14ac:dyDescent="0.2">
      <c r="A12" s="344"/>
      <c r="B12" s="345"/>
      <c r="C12" s="345"/>
      <c r="D12" s="345"/>
      <c r="E12" s="345"/>
      <c r="F12" s="345"/>
      <c r="G12" s="345"/>
      <c r="H12" s="346"/>
      <c r="J12" s="105"/>
    </row>
    <row r="13" spans="1:14" ht="140.25" x14ac:dyDescent="0.2">
      <c r="A13" s="58" t="s">
        <v>9</v>
      </c>
      <c r="B13" s="335" t="s">
        <v>327</v>
      </c>
      <c r="C13" s="335"/>
      <c r="D13" s="335"/>
      <c r="E13" s="335"/>
      <c r="F13" s="335"/>
      <c r="G13" s="335"/>
      <c r="H13" s="336"/>
      <c r="J13" s="105"/>
    </row>
    <row r="14" spans="1:14" x14ac:dyDescent="0.2">
      <c r="A14" s="59"/>
      <c r="B14" s="59"/>
      <c r="C14" s="59"/>
      <c r="D14" s="59"/>
      <c r="E14" s="59"/>
      <c r="F14" s="59"/>
      <c r="G14" s="59"/>
      <c r="H14" s="59"/>
      <c r="J14" s="105"/>
    </row>
    <row r="15" spans="1:14" x14ac:dyDescent="0.2">
      <c r="A15" s="59"/>
      <c r="B15" s="59"/>
      <c r="C15" s="59"/>
      <c r="D15" s="59"/>
      <c r="E15" s="59"/>
      <c r="F15" s="59"/>
      <c r="G15" s="59"/>
      <c r="H15" s="59"/>
      <c r="J15" s="105"/>
    </row>
    <row r="16" spans="1:14" x14ac:dyDescent="0.2">
      <c r="A16" s="59"/>
      <c r="B16" s="59"/>
      <c r="C16" s="59"/>
      <c r="D16" s="59"/>
      <c r="E16" s="59"/>
      <c r="F16" s="59"/>
      <c r="G16" s="59"/>
      <c r="H16" s="59"/>
      <c r="J16" s="105"/>
    </row>
    <row r="17" spans="1:11" x14ac:dyDescent="0.2">
      <c r="A17" s="59"/>
      <c r="B17" s="59"/>
      <c r="C17" s="59"/>
      <c r="D17" s="59"/>
      <c r="E17" s="59"/>
      <c r="F17" s="59"/>
      <c r="G17" s="59"/>
      <c r="H17" s="59"/>
      <c r="J17" s="105"/>
    </row>
    <row r="18" spans="1:11" x14ac:dyDescent="0.2">
      <c r="A18" s="59"/>
      <c r="B18" s="59"/>
      <c r="C18" s="59"/>
      <c r="D18" s="59"/>
      <c r="E18" s="59"/>
      <c r="F18" s="59"/>
      <c r="G18" s="59"/>
      <c r="H18" s="59"/>
      <c r="J18" s="105"/>
    </row>
    <row r="19" spans="1:11" x14ac:dyDescent="0.2">
      <c r="A19" s="59"/>
      <c r="B19" s="59"/>
      <c r="C19" s="59"/>
      <c r="D19" s="59"/>
      <c r="E19" s="59"/>
      <c r="F19" s="59"/>
      <c r="G19" s="59"/>
      <c r="H19" s="59"/>
      <c r="J19" s="105"/>
    </row>
    <row r="20" spans="1:11" s="106" customFormat="1" x14ac:dyDescent="0.2">
      <c r="A20" s="59"/>
      <c r="B20" s="59"/>
      <c r="C20" s="59"/>
      <c r="D20" s="59"/>
      <c r="E20" s="59"/>
      <c r="F20" s="59"/>
      <c r="G20" s="59"/>
      <c r="H20" s="59"/>
      <c r="K20" s="105"/>
    </row>
    <row r="21" spans="1:11" x14ac:dyDescent="0.2">
      <c r="J21" s="105"/>
    </row>
    <row r="22" spans="1:11" x14ac:dyDescent="0.2">
      <c r="J22" s="105"/>
    </row>
    <row r="23" spans="1:11" x14ac:dyDescent="0.2">
      <c r="J23" s="105"/>
    </row>
    <row r="24" spans="1:11" x14ac:dyDescent="0.2">
      <c r="J24" s="105"/>
    </row>
    <row r="25" spans="1:11" x14ac:dyDescent="0.2">
      <c r="J25" s="105"/>
    </row>
    <row r="26" spans="1:11" x14ac:dyDescent="0.2">
      <c r="J26" s="105"/>
    </row>
  </sheetData>
  <mergeCells count="3">
    <mergeCell ref="B11:G11"/>
    <mergeCell ref="A12:H12"/>
    <mergeCell ref="B13:H13"/>
  </mergeCells>
  <printOptions horizontalCentered="1"/>
  <pageMargins left="0.25" right="0.25" top="0.5" bottom="0.5" header="0.3" footer="0.05"/>
  <pageSetup scale="79" orientation="landscape" horizontalDpi="4294967292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L21"/>
  <sheetViews>
    <sheetView zoomScaleNormal="100" zoomScaleSheetLayoutView="115" workbookViewId="0">
      <selection activeCell="I8" sqref="I8"/>
    </sheetView>
  </sheetViews>
  <sheetFormatPr defaultColWidth="9.140625" defaultRowHeight="12.75" x14ac:dyDescent="0.2"/>
  <cols>
    <col min="1" max="1" width="5.85546875" style="105" bestFit="1" customWidth="1"/>
    <col min="2" max="2" width="12.5703125" style="105" customWidth="1"/>
    <col min="3" max="3" width="32" style="105" customWidth="1"/>
    <col min="4" max="4" width="5" style="105" bestFit="1" customWidth="1"/>
    <col min="5" max="5" width="6.28515625" style="105" bestFit="1" customWidth="1"/>
    <col min="6" max="7" width="11.5703125" style="105" bestFit="1" customWidth="1"/>
    <col min="8" max="8" width="16.5703125" style="105" bestFit="1" customWidth="1"/>
    <col min="9" max="9" width="9.140625" style="106"/>
    <col min="10" max="10" width="9.140625" style="59"/>
    <col min="11" max="11" width="13.28515625" style="105" bestFit="1" customWidth="1"/>
    <col min="12" max="16384" width="9.140625" style="105"/>
  </cols>
  <sheetData>
    <row r="1" spans="1:12" ht="25.5" x14ac:dyDescent="0.2">
      <c r="A1" s="48" t="s">
        <v>0</v>
      </c>
      <c r="B1" s="49" t="s">
        <v>5</v>
      </c>
      <c r="C1" s="49" t="s">
        <v>2</v>
      </c>
      <c r="D1" s="49" t="s">
        <v>3</v>
      </c>
      <c r="E1" s="49" t="s">
        <v>13</v>
      </c>
      <c r="F1" s="50" t="s">
        <v>11</v>
      </c>
      <c r="G1" s="50" t="s">
        <v>303</v>
      </c>
      <c r="H1" s="50" t="s">
        <v>12</v>
      </c>
      <c r="I1" s="40" t="s">
        <v>17</v>
      </c>
      <c r="J1" s="59" t="s">
        <v>110</v>
      </c>
      <c r="K1" s="42" t="s">
        <v>10</v>
      </c>
      <c r="L1" s="105" t="s">
        <v>14</v>
      </c>
    </row>
    <row r="2" spans="1:12" s="59" customFormat="1" x14ac:dyDescent="0.2">
      <c r="A2" s="51">
        <v>1</v>
      </c>
      <c r="B2" s="51" t="s">
        <v>269</v>
      </c>
      <c r="C2" s="108" t="s">
        <v>329</v>
      </c>
      <c r="D2" s="51" t="s">
        <v>109</v>
      </c>
      <c r="E2" s="51">
        <v>8</v>
      </c>
      <c r="F2" s="55">
        <f>I2*85*1.33</f>
        <v>2261</v>
      </c>
      <c r="G2" s="55">
        <f t="shared" ref="G2:G5" si="0">F2*18%</f>
        <v>406.97999999999996</v>
      </c>
      <c r="H2" s="56">
        <f t="shared" ref="H2" si="1">E2*(F2+G2)</f>
        <v>21343.84</v>
      </c>
      <c r="I2" s="89">
        <v>20</v>
      </c>
      <c r="K2" s="94">
        <v>8</v>
      </c>
    </row>
    <row r="3" spans="1:12" s="59" customFormat="1" x14ac:dyDescent="0.2">
      <c r="A3" s="51">
        <v>2</v>
      </c>
      <c r="B3" s="51" t="s">
        <v>269</v>
      </c>
      <c r="C3" s="108" t="s">
        <v>331</v>
      </c>
      <c r="D3" s="51" t="s">
        <v>109</v>
      </c>
      <c r="E3" s="51">
        <v>8</v>
      </c>
      <c r="F3" s="55">
        <f t="shared" ref="F3:F5" si="2">I3*85*1.33</f>
        <v>2261</v>
      </c>
      <c r="G3" s="55">
        <f>F3*18%</f>
        <v>406.97999999999996</v>
      </c>
      <c r="H3" s="56">
        <f>E3*(F3+G3)</f>
        <v>21343.84</v>
      </c>
      <c r="I3" s="89">
        <v>20</v>
      </c>
      <c r="K3" s="94">
        <v>8</v>
      </c>
    </row>
    <row r="4" spans="1:12" s="59" customFormat="1" x14ac:dyDescent="0.2">
      <c r="A4" s="51">
        <v>3</v>
      </c>
      <c r="B4" s="51" t="s">
        <v>269</v>
      </c>
      <c r="C4" s="108" t="s">
        <v>330</v>
      </c>
      <c r="D4" s="51" t="s">
        <v>109</v>
      </c>
      <c r="E4" s="51">
        <v>8</v>
      </c>
      <c r="F4" s="55">
        <f t="shared" si="2"/>
        <v>2261</v>
      </c>
      <c r="G4" s="55">
        <f t="shared" si="0"/>
        <v>406.97999999999996</v>
      </c>
      <c r="H4" s="56">
        <f t="shared" ref="H4:H5" si="3">E4*(F4+G4)</f>
        <v>21343.84</v>
      </c>
      <c r="I4" s="89">
        <v>20</v>
      </c>
      <c r="K4" s="94">
        <v>8</v>
      </c>
    </row>
    <row r="5" spans="1:12" s="59" customFormat="1" x14ac:dyDescent="0.2">
      <c r="A5" s="51">
        <v>4</v>
      </c>
      <c r="B5" s="51" t="s">
        <v>269</v>
      </c>
      <c r="C5" s="108" t="s">
        <v>328</v>
      </c>
      <c r="D5" s="51" t="s">
        <v>109</v>
      </c>
      <c r="E5" s="51">
        <v>8</v>
      </c>
      <c r="F5" s="55">
        <f t="shared" si="2"/>
        <v>2261</v>
      </c>
      <c r="G5" s="55">
        <f t="shared" si="0"/>
        <v>406.97999999999996</v>
      </c>
      <c r="H5" s="56">
        <f t="shared" si="3"/>
        <v>21343.84</v>
      </c>
      <c r="I5" s="89">
        <v>20</v>
      </c>
      <c r="K5" s="94">
        <v>8</v>
      </c>
    </row>
    <row r="6" spans="1:12" x14ac:dyDescent="0.2">
      <c r="A6" s="51">
        <v>5</v>
      </c>
      <c r="B6" s="343" t="s">
        <v>7</v>
      </c>
      <c r="C6" s="343"/>
      <c r="D6" s="343"/>
      <c r="E6" s="343"/>
      <c r="F6" s="343"/>
      <c r="G6" s="343"/>
      <c r="H6" s="107">
        <f>SUM(H2:H5)</f>
        <v>85375.360000000001</v>
      </c>
      <c r="I6" s="46"/>
      <c r="J6" s="105"/>
      <c r="K6" s="47"/>
    </row>
    <row r="7" spans="1:12" x14ac:dyDescent="0.2">
      <c r="A7" s="344"/>
      <c r="B7" s="345"/>
      <c r="C7" s="345"/>
      <c r="D7" s="345"/>
      <c r="E7" s="345"/>
      <c r="F7" s="345"/>
      <c r="G7" s="345"/>
      <c r="H7" s="346"/>
      <c r="J7" s="105"/>
    </row>
    <row r="8" spans="1:12" ht="140.25" x14ac:dyDescent="0.2">
      <c r="A8" s="58" t="s">
        <v>9</v>
      </c>
      <c r="B8" s="335" t="s">
        <v>332</v>
      </c>
      <c r="C8" s="335"/>
      <c r="D8" s="335"/>
      <c r="E8" s="335"/>
      <c r="F8" s="335"/>
      <c r="G8" s="335"/>
      <c r="H8" s="336"/>
      <c r="J8" s="105"/>
    </row>
    <row r="9" spans="1:12" x14ac:dyDescent="0.2">
      <c r="A9" s="59"/>
      <c r="B9" s="59"/>
      <c r="C9" s="59"/>
      <c r="D9" s="59"/>
      <c r="E9" s="59"/>
      <c r="F9" s="59"/>
      <c r="G9" s="59"/>
      <c r="H9" s="59"/>
      <c r="J9" s="105"/>
    </row>
    <row r="10" spans="1:12" x14ac:dyDescent="0.2">
      <c r="A10" s="59"/>
      <c r="B10" s="59"/>
      <c r="C10" s="59"/>
      <c r="D10" s="59"/>
      <c r="E10" s="59"/>
      <c r="F10" s="59"/>
      <c r="G10" s="59"/>
      <c r="H10" s="59"/>
      <c r="J10" s="105"/>
    </row>
    <row r="11" spans="1:12" x14ac:dyDescent="0.2">
      <c r="A11" s="59"/>
      <c r="B11" s="59"/>
      <c r="C11" s="59"/>
      <c r="D11" s="59"/>
      <c r="E11" s="59"/>
      <c r="F11" s="59"/>
      <c r="G11" s="59"/>
      <c r="H11" s="59"/>
      <c r="J11" s="105"/>
    </row>
    <row r="12" spans="1:12" x14ac:dyDescent="0.2">
      <c r="A12" s="59"/>
      <c r="B12" s="59"/>
      <c r="C12" s="59"/>
      <c r="D12" s="59"/>
      <c r="E12" s="59"/>
      <c r="F12" s="59"/>
      <c r="G12" s="59"/>
      <c r="H12" s="59"/>
      <c r="J12" s="105"/>
    </row>
    <row r="13" spans="1:12" x14ac:dyDescent="0.2">
      <c r="A13" s="59"/>
      <c r="B13" s="59"/>
      <c r="C13" s="59"/>
      <c r="D13" s="59"/>
      <c r="E13" s="59"/>
      <c r="F13" s="59"/>
      <c r="G13" s="59"/>
      <c r="H13" s="59"/>
      <c r="J13" s="105"/>
    </row>
    <row r="14" spans="1:12" x14ac:dyDescent="0.2">
      <c r="A14" s="59"/>
      <c r="B14" s="59"/>
      <c r="C14" s="59"/>
      <c r="D14" s="59"/>
      <c r="E14" s="59"/>
      <c r="F14" s="59"/>
      <c r="G14" s="59"/>
      <c r="H14" s="59"/>
      <c r="J14" s="105"/>
    </row>
    <row r="15" spans="1:12" s="106" customFormat="1" x14ac:dyDescent="0.2">
      <c r="A15" s="59"/>
      <c r="B15" s="59"/>
      <c r="C15" s="59"/>
      <c r="D15" s="59"/>
      <c r="E15" s="59"/>
      <c r="F15" s="59"/>
      <c r="G15" s="59"/>
      <c r="H15" s="59"/>
      <c r="K15" s="105"/>
    </row>
    <row r="16" spans="1:12" x14ac:dyDescent="0.2">
      <c r="J16" s="105"/>
    </row>
    <row r="17" spans="10:10" x14ac:dyDescent="0.2">
      <c r="J17" s="105"/>
    </row>
    <row r="18" spans="10:10" x14ac:dyDescent="0.2">
      <c r="J18" s="105"/>
    </row>
    <row r="19" spans="10:10" x14ac:dyDescent="0.2">
      <c r="J19" s="105"/>
    </row>
    <row r="20" spans="10:10" x14ac:dyDescent="0.2">
      <c r="J20" s="105"/>
    </row>
    <row r="21" spans="10:10" x14ac:dyDescent="0.2">
      <c r="J21" s="105"/>
    </row>
  </sheetData>
  <mergeCells count="3">
    <mergeCell ref="B6:G6"/>
    <mergeCell ref="A7:H7"/>
    <mergeCell ref="B8:H8"/>
  </mergeCells>
  <printOptions horizontalCentered="1"/>
  <pageMargins left="0.25" right="0.25" top="0.5" bottom="0.5" header="0.3" footer="0.05"/>
  <pageSetup scale="79" orientation="landscape" horizontalDpi="4294967292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L21"/>
  <sheetViews>
    <sheetView zoomScaleNormal="100" zoomScaleSheetLayoutView="115" workbookViewId="0">
      <selection activeCell="B6" sqref="B6:G6"/>
    </sheetView>
  </sheetViews>
  <sheetFormatPr defaultColWidth="9.140625" defaultRowHeight="12.75" x14ac:dyDescent="0.2"/>
  <cols>
    <col min="1" max="1" width="5.85546875" style="105" bestFit="1" customWidth="1"/>
    <col min="2" max="2" width="12.5703125" style="105" customWidth="1"/>
    <col min="3" max="3" width="32" style="105" customWidth="1"/>
    <col min="4" max="4" width="5" style="105" bestFit="1" customWidth="1"/>
    <col min="5" max="5" width="6.28515625" style="105" bestFit="1" customWidth="1"/>
    <col min="6" max="7" width="11.5703125" style="105" bestFit="1" customWidth="1"/>
    <col min="8" max="8" width="16.5703125" style="105" bestFit="1" customWidth="1"/>
    <col min="9" max="9" width="9.140625" style="106"/>
    <col min="10" max="10" width="9.140625" style="59"/>
    <col min="11" max="11" width="13.28515625" style="105" bestFit="1" customWidth="1"/>
    <col min="12" max="16384" width="9.140625" style="105"/>
  </cols>
  <sheetData>
    <row r="1" spans="1:12" ht="25.5" x14ac:dyDescent="0.2">
      <c r="A1" s="48" t="s">
        <v>0</v>
      </c>
      <c r="B1" s="49" t="s">
        <v>5</v>
      </c>
      <c r="C1" s="49" t="s">
        <v>2</v>
      </c>
      <c r="D1" s="49" t="s">
        <v>3</v>
      </c>
      <c r="E1" s="49" t="s">
        <v>13</v>
      </c>
      <c r="F1" s="50" t="s">
        <v>11</v>
      </c>
      <c r="G1" s="50" t="s">
        <v>303</v>
      </c>
      <c r="H1" s="50" t="s">
        <v>12</v>
      </c>
      <c r="I1" s="40" t="s">
        <v>17</v>
      </c>
      <c r="J1" s="59" t="s">
        <v>110</v>
      </c>
      <c r="K1" s="42" t="s">
        <v>10</v>
      </c>
      <c r="L1" s="105" t="s">
        <v>14</v>
      </c>
    </row>
    <row r="2" spans="1:12" s="59" customFormat="1" x14ac:dyDescent="0.2">
      <c r="A2" s="51">
        <v>1</v>
      </c>
      <c r="B2" s="51" t="s">
        <v>269</v>
      </c>
      <c r="C2" s="108" t="s">
        <v>333</v>
      </c>
      <c r="D2" s="51" t="s">
        <v>109</v>
      </c>
      <c r="E2" s="51">
        <v>1</v>
      </c>
      <c r="F2" s="55">
        <f>I2*85*1.33</f>
        <v>1096585</v>
      </c>
      <c r="G2" s="55">
        <f t="shared" ref="G2:G5" si="0">F2*18%</f>
        <v>197385.3</v>
      </c>
      <c r="H2" s="56">
        <f t="shared" ref="H2" si="1">E2*(F2+G2)</f>
        <v>1293970.3</v>
      </c>
      <c r="I2" s="89">
        <v>9700</v>
      </c>
      <c r="K2" s="94">
        <v>9700</v>
      </c>
    </row>
    <row r="3" spans="1:12" s="59" customFormat="1" x14ac:dyDescent="0.2">
      <c r="A3" s="51">
        <v>2</v>
      </c>
      <c r="B3" s="51" t="s">
        <v>269</v>
      </c>
      <c r="C3" s="108" t="s">
        <v>334</v>
      </c>
      <c r="D3" s="51" t="s">
        <v>109</v>
      </c>
      <c r="E3" s="51">
        <v>1</v>
      </c>
      <c r="F3" s="55">
        <f t="shared" ref="F3:F5" si="2">I3*85*1.33</f>
        <v>169575</v>
      </c>
      <c r="G3" s="55">
        <f>F3*18%</f>
        <v>30523.5</v>
      </c>
      <c r="H3" s="56">
        <f>E3*(F3+G3)</f>
        <v>200098.5</v>
      </c>
      <c r="I3" s="89">
        <v>1500</v>
      </c>
      <c r="K3" s="94">
        <v>1480</v>
      </c>
    </row>
    <row r="4" spans="1:12" s="59" customFormat="1" x14ac:dyDescent="0.2">
      <c r="A4" s="51">
        <v>3</v>
      </c>
      <c r="B4" s="51" t="s">
        <v>269</v>
      </c>
      <c r="C4" s="108" t="s">
        <v>335</v>
      </c>
      <c r="D4" s="51" t="s">
        <v>109</v>
      </c>
      <c r="E4" s="51">
        <v>30</v>
      </c>
      <c r="F4" s="55">
        <f t="shared" si="2"/>
        <v>85918</v>
      </c>
      <c r="G4" s="55">
        <f t="shared" si="0"/>
        <v>15465.24</v>
      </c>
      <c r="H4" s="56">
        <f t="shared" ref="H4" si="3">E4*(F4+G4)</f>
        <v>3041497.2</v>
      </c>
      <c r="I4" s="89">
        <v>760</v>
      </c>
      <c r="K4" s="94">
        <v>750</v>
      </c>
    </row>
    <row r="5" spans="1:12" s="59" customFormat="1" x14ac:dyDescent="0.2">
      <c r="A5" s="51">
        <v>4</v>
      </c>
      <c r="B5" s="51" t="s">
        <v>269</v>
      </c>
      <c r="C5" s="108" t="s">
        <v>336</v>
      </c>
      <c r="D5" s="51" t="s">
        <v>109</v>
      </c>
      <c r="E5" s="51">
        <v>30</v>
      </c>
      <c r="F5" s="55">
        <f t="shared" si="2"/>
        <v>0</v>
      </c>
      <c r="G5" s="55">
        <f t="shared" si="0"/>
        <v>0</v>
      </c>
      <c r="H5" s="56">
        <v>0</v>
      </c>
      <c r="I5" s="89"/>
      <c r="K5" s="94"/>
    </row>
    <row r="6" spans="1:12" x14ac:dyDescent="0.2">
      <c r="A6" s="51">
        <v>5</v>
      </c>
      <c r="B6" s="343" t="s">
        <v>7</v>
      </c>
      <c r="C6" s="343"/>
      <c r="D6" s="343"/>
      <c r="E6" s="343"/>
      <c r="F6" s="343"/>
      <c r="G6" s="343"/>
      <c r="H6" s="107">
        <f>SUM(H2:H5)</f>
        <v>4535566</v>
      </c>
      <c r="I6" s="46"/>
      <c r="J6" s="105"/>
      <c r="K6" s="47"/>
    </row>
    <row r="7" spans="1:12" x14ac:dyDescent="0.2">
      <c r="A7" s="344" t="s">
        <v>338</v>
      </c>
      <c r="B7" s="345"/>
      <c r="C7" s="345"/>
      <c r="D7" s="345"/>
      <c r="E7" s="345"/>
      <c r="F7" s="345"/>
      <c r="G7" s="345"/>
      <c r="H7" s="346"/>
      <c r="J7" s="105"/>
    </row>
    <row r="8" spans="1:12" ht="140.25" x14ac:dyDescent="0.2">
      <c r="A8" s="58" t="s">
        <v>9</v>
      </c>
      <c r="B8" s="335" t="s">
        <v>332</v>
      </c>
      <c r="C8" s="335"/>
      <c r="D8" s="335"/>
      <c r="E8" s="335"/>
      <c r="F8" s="335"/>
      <c r="G8" s="335"/>
      <c r="H8" s="336"/>
      <c r="J8" s="105"/>
    </row>
    <row r="9" spans="1:12" x14ac:dyDescent="0.2">
      <c r="A9" s="59"/>
      <c r="B9" s="59"/>
      <c r="C9" s="59"/>
      <c r="D9" s="59"/>
      <c r="E9" s="59"/>
      <c r="F9" s="59"/>
      <c r="G9" s="59"/>
      <c r="H9" s="59"/>
      <c r="J9" s="105"/>
    </row>
    <row r="10" spans="1:12" x14ac:dyDescent="0.2">
      <c r="A10" s="59"/>
      <c r="B10" s="59"/>
      <c r="C10" s="59"/>
      <c r="D10" s="59"/>
      <c r="E10" s="59"/>
      <c r="F10" s="59"/>
      <c r="G10" s="59"/>
      <c r="H10" s="59"/>
      <c r="J10" s="105"/>
    </row>
    <row r="11" spans="1:12" x14ac:dyDescent="0.2">
      <c r="A11" s="59"/>
      <c r="B11" s="59"/>
      <c r="C11" s="59"/>
      <c r="D11" s="59"/>
      <c r="E11" s="59"/>
      <c r="F11" s="59"/>
      <c r="G11" s="59"/>
      <c r="H11" s="59"/>
      <c r="J11" s="105"/>
    </row>
    <row r="12" spans="1:12" x14ac:dyDescent="0.2">
      <c r="A12" s="59"/>
      <c r="B12" s="59"/>
      <c r="C12" s="59"/>
      <c r="D12" s="59"/>
      <c r="E12" s="59"/>
      <c r="F12" s="59"/>
      <c r="G12" s="59"/>
      <c r="H12" s="59"/>
      <c r="J12" s="105"/>
    </row>
    <row r="13" spans="1:12" x14ac:dyDescent="0.2">
      <c r="A13" s="59"/>
      <c r="B13" s="59"/>
      <c r="C13" s="59"/>
      <c r="D13" s="59"/>
      <c r="E13" s="59"/>
      <c r="F13" s="59"/>
      <c r="G13" s="59"/>
      <c r="H13" s="59"/>
      <c r="J13" s="105"/>
    </row>
    <row r="14" spans="1:12" x14ac:dyDescent="0.2">
      <c r="A14" s="59"/>
      <c r="B14" s="59"/>
      <c r="C14" s="59"/>
      <c r="D14" s="59"/>
      <c r="E14" s="59"/>
      <c r="F14" s="59"/>
      <c r="G14" s="59"/>
      <c r="H14" s="59"/>
      <c r="J14" s="105"/>
    </row>
    <row r="15" spans="1:12" s="106" customFormat="1" x14ac:dyDescent="0.2">
      <c r="A15" s="59"/>
      <c r="B15" s="59"/>
      <c r="C15" s="59"/>
      <c r="D15" s="59"/>
      <c r="E15" s="59"/>
      <c r="F15" s="59"/>
      <c r="G15" s="59"/>
      <c r="H15" s="59"/>
      <c r="K15" s="105"/>
    </row>
    <row r="16" spans="1:12" x14ac:dyDescent="0.2">
      <c r="J16" s="105"/>
    </row>
    <row r="17" spans="10:10" x14ac:dyDescent="0.2">
      <c r="J17" s="105"/>
    </row>
    <row r="18" spans="10:10" x14ac:dyDescent="0.2">
      <c r="J18" s="105"/>
    </row>
    <row r="19" spans="10:10" x14ac:dyDescent="0.2">
      <c r="J19" s="105"/>
    </row>
    <row r="20" spans="10:10" x14ac:dyDescent="0.2">
      <c r="J20" s="105"/>
    </row>
    <row r="21" spans="10:10" x14ac:dyDescent="0.2">
      <c r="J21" s="105"/>
    </row>
  </sheetData>
  <mergeCells count="3">
    <mergeCell ref="B6:G6"/>
    <mergeCell ref="A7:H7"/>
    <mergeCell ref="B8:H8"/>
  </mergeCells>
  <printOptions horizontalCentered="1"/>
  <pageMargins left="0.25" right="0.25" top="0.5" bottom="0.5" header="0.3" footer="0.05"/>
  <pageSetup scale="79" orientation="landscape" horizontalDpi="4294967292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L18"/>
  <sheetViews>
    <sheetView zoomScaleNormal="100" zoomScaleSheetLayoutView="115" workbookViewId="0">
      <selection activeCell="F2" sqref="F2"/>
    </sheetView>
  </sheetViews>
  <sheetFormatPr defaultColWidth="9.140625" defaultRowHeight="12.75" x14ac:dyDescent="0.2"/>
  <cols>
    <col min="1" max="1" width="5.85546875" style="105" bestFit="1" customWidth="1"/>
    <col min="2" max="2" width="12.5703125" style="105" customWidth="1"/>
    <col min="3" max="3" width="32" style="105" customWidth="1"/>
    <col min="4" max="4" width="5" style="105" bestFit="1" customWidth="1"/>
    <col min="5" max="5" width="6.28515625" style="105" bestFit="1" customWidth="1"/>
    <col min="6" max="7" width="11.5703125" style="105" bestFit="1" customWidth="1"/>
    <col min="8" max="8" width="16.5703125" style="105" bestFit="1" customWidth="1"/>
    <col min="9" max="9" width="9.140625" style="106"/>
    <col min="10" max="10" width="9.140625" style="59"/>
    <col min="11" max="11" width="13.28515625" style="105" bestFit="1" customWidth="1"/>
    <col min="12" max="16384" width="9.140625" style="105"/>
  </cols>
  <sheetData>
    <row r="1" spans="1:12" ht="25.5" x14ac:dyDescent="0.2">
      <c r="A1" s="48" t="s">
        <v>0</v>
      </c>
      <c r="B1" s="49" t="s">
        <v>5</v>
      </c>
      <c r="C1" s="49" t="s">
        <v>2</v>
      </c>
      <c r="D1" s="49" t="s">
        <v>3</v>
      </c>
      <c r="E1" s="49" t="s">
        <v>13</v>
      </c>
      <c r="F1" s="50" t="s">
        <v>11</v>
      </c>
      <c r="G1" s="50" t="s">
        <v>303</v>
      </c>
      <c r="H1" s="50" t="s">
        <v>12</v>
      </c>
      <c r="I1" s="40" t="s">
        <v>17</v>
      </c>
      <c r="J1" s="59" t="s">
        <v>110</v>
      </c>
      <c r="K1" s="42" t="s">
        <v>10</v>
      </c>
      <c r="L1" s="105" t="s">
        <v>14</v>
      </c>
    </row>
    <row r="2" spans="1:12" s="59" customFormat="1" x14ac:dyDescent="0.2">
      <c r="A2" s="51">
        <v>1</v>
      </c>
      <c r="B2" s="51" t="s">
        <v>269</v>
      </c>
      <c r="C2" s="108" t="s">
        <v>337</v>
      </c>
      <c r="D2" s="51" t="s">
        <v>109</v>
      </c>
      <c r="E2" s="51">
        <v>1</v>
      </c>
      <c r="F2" s="55">
        <f>I2*85*1.33</f>
        <v>327845</v>
      </c>
      <c r="G2" s="55">
        <f t="shared" ref="G2" si="0">F2*18%</f>
        <v>59012.1</v>
      </c>
      <c r="H2" s="56">
        <f t="shared" ref="H2" si="1">E2*(F2+G2)</f>
        <v>386857.1</v>
      </c>
      <c r="I2" s="89">
        <v>2900</v>
      </c>
      <c r="J2" s="59">
        <v>2580</v>
      </c>
      <c r="K2" s="94"/>
    </row>
    <row r="3" spans="1:12" x14ac:dyDescent="0.2">
      <c r="A3" s="51">
        <v>2</v>
      </c>
      <c r="B3" s="343" t="s">
        <v>7</v>
      </c>
      <c r="C3" s="343"/>
      <c r="D3" s="343"/>
      <c r="E3" s="343"/>
      <c r="F3" s="343"/>
      <c r="G3" s="343"/>
      <c r="H3" s="107">
        <f>SUM(H2:H2)</f>
        <v>386857.1</v>
      </c>
      <c r="I3" s="46"/>
      <c r="J3" s="105"/>
      <c r="K3" s="47"/>
    </row>
    <row r="4" spans="1:12" x14ac:dyDescent="0.2">
      <c r="A4" s="344"/>
      <c r="B4" s="345"/>
      <c r="C4" s="345"/>
      <c r="D4" s="345"/>
      <c r="E4" s="345"/>
      <c r="F4" s="345"/>
      <c r="G4" s="345"/>
      <c r="H4" s="346"/>
      <c r="J4" s="105"/>
    </row>
    <row r="5" spans="1:12" ht="140.25" x14ac:dyDescent="0.2">
      <c r="A5" s="58" t="s">
        <v>9</v>
      </c>
      <c r="B5" s="335" t="s">
        <v>332</v>
      </c>
      <c r="C5" s="335"/>
      <c r="D5" s="335"/>
      <c r="E5" s="335"/>
      <c r="F5" s="335"/>
      <c r="G5" s="335"/>
      <c r="H5" s="336"/>
      <c r="J5" s="105"/>
    </row>
    <row r="6" spans="1:12" x14ac:dyDescent="0.2">
      <c r="A6" s="59"/>
      <c r="B6" s="59"/>
      <c r="C6" s="59"/>
      <c r="D6" s="59"/>
      <c r="E6" s="59"/>
      <c r="F6" s="59"/>
      <c r="G6" s="59"/>
      <c r="H6" s="59"/>
      <c r="J6" s="105"/>
    </row>
    <row r="7" spans="1:12" x14ac:dyDescent="0.2">
      <c r="A7" s="59"/>
      <c r="B7" s="59"/>
      <c r="C7" s="59"/>
      <c r="D7" s="59"/>
      <c r="E7" s="59"/>
      <c r="F7" s="59"/>
      <c r="G7" s="59"/>
      <c r="H7" s="59"/>
      <c r="J7" s="105"/>
    </row>
    <row r="8" spans="1:12" x14ac:dyDescent="0.2">
      <c r="A8" s="59"/>
      <c r="B8" s="59"/>
      <c r="C8" s="59"/>
      <c r="D8" s="59"/>
      <c r="E8" s="59"/>
      <c r="F8" s="59"/>
      <c r="G8" s="59"/>
      <c r="H8" s="59"/>
      <c r="J8" s="105"/>
    </row>
    <row r="9" spans="1:12" x14ac:dyDescent="0.2">
      <c r="A9" s="59"/>
      <c r="B9" s="59"/>
      <c r="C9" s="59"/>
      <c r="D9" s="59"/>
      <c r="E9" s="59"/>
      <c r="F9" s="59"/>
      <c r="G9" s="59"/>
      <c r="H9" s="59"/>
      <c r="J9" s="105"/>
    </row>
    <row r="10" spans="1:12" x14ac:dyDescent="0.2">
      <c r="A10" s="59"/>
      <c r="B10" s="59"/>
      <c r="C10" s="59"/>
      <c r="D10" s="59"/>
      <c r="E10" s="59"/>
      <c r="F10" s="59"/>
      <c r="G10" s="59"/>
      <c r="H10" s="59"/>
      <c r="J10" s="105"/>
    </row>
    <row r="11" spans="1:12" x14ac:dyDescent="0.2">
      <c r="A11" s="59"/>
      <c r="B11" s="59"/>
      <c r="C11" s="59"/>
      <c r="D11" s="59"/>
      <c r="E11" s="59"/>
      <c r="F11" s="59"/>
      <c r="G11" s="59"/>
      <c r="H11" s="59"/>
      <c r="J11" s="105"/>
    </row>
    <row r="12" spans="1:12" s="106" customFormat="1" x14ac:dyDescent="0.2">
      <c r="A12" s="59"/>
      <c r="B12" s="59"/>
      <c r="C12" s="59"/>
      <c r="D12" s="59"/>
      <c r="E12" s="59"/>
      <c r="F12" s="59"/>
      <c r="G12" s="59"/>
      <c r="H12" s="59"/>
      <c r="K12" s="105"/>
    </row>
    <row r="13" spans="1:12" x14ac:dyDescent="0.2">
      <c r="J13" s="105"/>
    </row>
    <row r="14" spans="1:12" x14ac:dyDescent="0.2">
      <c r="J14" s="105"/>
    </row>
    <row r="15" spans="1:12" x14ac:dyDescent="0.2">
      <c r="J15" s="105"/>
    </row>
    <row r="16" spans="1:12" x14ac:dyDescent="0.2">
      <c r="J16" s="105"/>
    </row>
    <row r="17" spans="10:10" x14ac:dyDescent="0.2">
      <c r="J17" s="105"/>
    </row>
    <row r="18" spans="10:10" x14ac:dyDescent="0.2">
      <c r="J18" s="105"/>
    </row>
  </sheetData>
  <mergeCells count="3">
    <mergeCell ref="B3:G3"/>
    <mergeCell ref="A4:H4"/>
    <mergeCell ref="B5:H5"/>
  </mergeCells>
  <printOptions horizontalCentered="1"/>
  <pageMargins left="0.25" right="0.25" top="0.5" bottom="0.5" header="0.3" footer="0.05"/>
  <pageSetup scale="79" orientation="landscape" horizontalDpi="4294967292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L19"/>
  <sheetViews>
    <sheetView zoomScaleNormal="100" zoomScaleSheetLayoutView="115" workbookViewId="0">
      <selection activeCell="C2" sqref="C2"/>
    </sheetView>
  </sheetViews>
  <sheetFormatPr defaultColWidth="9.140625" defaultRowHeight="12.75" x14ac:dyDescent="0.2"/>
  <cols>
    <col min="1" max="1" width="5.85546875" style="105" bestFit="1" customWidth="1"/>
    <col min="2" max="2" width="12.5703125" style="105" customWidth="1"/>
    <col min="3" max="3" width="32" style="105" customWidth="1"/>
    <col min="4" max="4" width="5" style="105" bestFit="1" customWidth="1"/>
    <col min="5" max="5" width="6.28515625" style="105" bestFit="1" customWidth="1"/>
    <col min="6" max="7" width="11.5703125" style="105" bestFit="1" customWidth="1"/>
    <col min="8" max="8" width="16.5703125" style="105" bestFit="1" customWidth="1"/>
    <col min="9" max="9" width="9.140625" style="106"/>
    <col min="10" max="10" width="9.140625" style="59"/>
    <col min="11" max="11" width="13.28515625" style="105" bestFit="1" customWidth="1"/>
    <col min="12" max="16384" width="9.140625" style="105"/>
  </cols>
  <sheetData>
    <row r="1" spans="1:12" ht="25.5" x14ac:dyDescent="0.2">
      <c r="A1" s="48" t="s">
        <v>0</v>
      </c>
      <c r="B1" s="49" t="s">
        <v>1</v>
      </c>
      <c r="C1" s="49" t="s">
        <v>2</v>
      </c>
      <c r="D1" s="49" t="s">
        <v>3</v>
      </c>
      <c r="E1" s="49" t="s">
        <v>13</v>
      </c>
      <c r="F1" s="50" t="s">
        <v>11</v>
      </c>
      <c r="G1" s="50" t="s">
        <v>303</v>
      </c>
      <c r="H1" s="50" t="s">
        <v>12</v>
      </c>
      <c r="I1" s="40" t="s">
        <v>17</v>
      </c>
      <c r="J1" s="59" t="s">
        <v>110</v>
      </c>
      <c r="K1" s="42" t="s">
        <v>10</v>
      </c>
      <c r="L1" s="105" t="s">
        <v>14</v>
      </c>
    </row>
    <row r="2" spans="1:12" s="59" customFormat="1" ht="25.5" x14ac:dyDescent="0.2">
      <c r="A2" s="51">
        <v>1</v>
      </c>
      <c r="B2" s="51" t="s">
        <v>339</v>
      </c>
      <c r="C2" s="53" t="s">
        <v>342</v>
      </c>
      <c r="D2" s="51" t="s">
        <v>109</v>
      </c>
      <c r="E2" s="51">
        <v>1</v>
      </c>
      <c r="F2" s="55" t="s">
        <v>252</v>
      </c>
      <c r="G2" s="55">
        <v>0</v>
      </c>
      <c r="H2" s="56">
        <v>0</v>
      </c>
      <c r="I2" s="89"/>
    </row>
    <row r="3" spans="1:12" s="59" customFormat="1" ht="63.75" x14ac:dyDescent="0.2">
      <c r="A3" s="51">
        <v>2</v>
      </c>
      <c r="B3" s="51" t="s">
        <v>340</v>
      </c>
      <c r="C3" s="53" t="s">
        <v>341</v>
      </c>
      <c r="D3" s="51" t="s">
        <v>109</v>
      </c>
      <c r="E3" s="51">
        <v>2</v>
      </c>
      <c r="F3" s="55">
        <f t="shared" ref="F3" si="0">I3*85*1.33</f>
        <v>130007.5</v>
      </c>
      <c r="G3" s="55">
        <f>F3*18%</f>
        <v>23401.35</v>
      </c>
      <c r="H3" s="56">
        <f>E3*(F3+G3)</f>
        <v>306817.7</v>
      </c>
      <c r="I3" s="89">
        <v>1150</v>
      </c>
      <c r="K3" s="94">
        <v>1150</v>
      </c>
    </row>
    <row r="4" spans="1:12" x14ac:dyDescent="0.2">
      <c r="A4" s="51">
        <v>3</v>
      </c>
      <c r="B4" s="343" t="s">
        <v>7</v>
      </c>
      <c r="C4" s="343"/>
      <c r="D4" s="343"/>
      <c r="E4" s="343"/>
      <c r="F4" s="343"/>
      <c r="G4" s="343"/>
      <c r="H4" s="107">
        <f>SUM(H2:H3)</f>
        <v>306817.7</v>
      </c>
      <c r="I4" s="46"/>
      <c r="J4" s="105"/>
      <c r="K4" s="47"/>
    </row>
    <row r="5" spans="1:12" x14ac:dyDescent="0.2">
      <c r="A5" s="344"/>
      <c r="B5" s="345"/>
      <c r="C5" s="345"/>
      <c r="D5" s="345"/>
      <c r="E5" s="345"/>
      <c r="F5" s="345"/>
      <c r="G5" s="345"/>
      <c r="H5" s="346"/>
      <c r="J5" s="105"/>
    </row>
    <row r="6" spans="1:12" ht="140.25" x14ac:dyDescent="0.2">
      <c r="A6" s="58" t="s">
        <v>9</v>
      </c>
      <c r="B6" s="335" t="s">
        <v>332</v>
      </c>
      <c r="C6" s="335"/>
      <c r="D6" s="335"/>
      <c r="E6" s="335"/>
      <c r="F6" s="335"/>
      <c r="G6" s="335"/>
      <c r="H6" s="336"/>
      <c r="J6" s="105"/>
    </row>
    <row r="7" spans="1:12" x14ac:dyDescent="0.2">
      <c r="A7" s="59"/>
      <c r="B7" s="59"/>
      <c r="C7" s="59"/>
      <c r="D7" s="59"/>
      <c r="E7" s="59"/>
      <c r="F7" s="59"/>
      <c r="G7" s="59"/>
      <c r="H7" s="59"/>
      <c r="J7" s="105"/>
    </row>
    <row r="8" spans="1:12" x14ac:dyDescent="0.2">
      <c r="A8" s="59"/>
      <c r="B8" s="59"/>
      <c r="C8" s="59"/>
      <c r="D8" s="59"/>
      <c r="E8" s="59"/>
      <c r="F8" s="59"/>
      <c r="G8" s="59"/>
      <c r="H8" s="59"/>
      <c r="J8" s="105"/>
    </row>
    <row r="9" spans="1:12" x14ac:dyDescent="0.2">
      <c r="A9" s="59"/>
      <c r="B9" s="59"/>
      <c r="C9" s="59"/>
      <c r="D9" s="59"/>
      <c r="E9" s="59"/>
      <c r="F9" s="59"/>
      <c r="G9" s="59"/>
      <c r="H9" s="59"/>
      <c r="J9" s="105"/>
    </row>
    <row r="10" spans="1:12" x14ac:dyDescent="0.2">
      <c r="A10" s="59"/>
      <c r="B10" s="59"/>
      <c r="C10" s="59"/>
      <c r="D10" s="59"/>
      <c r="E10" s="59"/>
      <c r="F10" s="59"/>
      <c r="G10" s="59"/>
      <c r="H10" s="59"/>
      <c r="J10" s="105"/>
    </row>
    <row r="11" spans="1:12" x14ac:dyDescent="0.2">
      <c r="A11" s="59"/>
      <c r="B11" s="59"/>
      <c r="C11" s="59"/>
      <c r="D11" s="59"/>
      <c r="E11" s="59"/>
      <c r="F11" s="59"/>
      <c r="G11" s="59"/>
      <c r="H11" s="59"/>
      <c r="J11" s="105"/>
    </row>
    <row r="12" spans="1:12" x14ac:dyDescent="0.2">
      <c r="A12" s="59"/>
      <c r="B12" s="59"/>
      <c r="C12" s="59"/>
      <c r="D12" s="59"/>
      <c r="E12" s="59"/>
      <c r="F12" s="59"/>
      <c r="G12" s="59"/>
      <c r="H12" s="59"/>
      <c r="J12" s="105"/>
    </row>
    <row r="13" spans="1:12" s="106" customFormat="1" x14ac:dyDescent="0.2">
      <c r="A13" s="59"/>
      <c r="B13" s="59"/>
      <c r="C13" s="59"/>
      <c r="D13" s="59"/>
      <c r="E13" s="59"/>
      <c r="F13" s="59"/>
      <c r="G13" s="59"/>
      <c r="H13" s="59"/>
      <c r="K13" s="105"/>
    </row>
    <row r="14" spans="1:12" x14ac:dyDescent="0.2">
      <c r="J14" s="105"/>
    </row>
    <row r="15" spans="1:12" x14ac:dyDescent="0.2">
      <c r="J15" s="105"/>
    </row>
    <row r="16" spans="1:12" x14ac:dyDescent="0.2">
      <c r="J16" s="105"/>
    </row>
    <row r="17" spans="10:10" x14ac:dyDescent="0.2">
      <c r="J17" s="105"/>
    </row>
    <row r="18" spans="10:10" x14ac:dyDescent="0.2">
      <c r="J18" s="105"/>
    </row>
    <row r="19" spans="10:10" x14ac:dyDescent="0.2">
      <c r="J19" s="105"/>
    </row>
  </sheetData>
  <mergeCells count="3">
    <mergeCell ref="B4:G4"/>
    <mergeCell ref="A5:H5"/>
    <mergeCell ref="B6:H6"/>
  </mergeCells>
  <printOptions horizontalCentered="1"/>
  <pageMargins left="0.25" right="0.25" top="0.5" bottom="0.5" header="0.3" footer="0.05"/>
  <pageSetup scale="79" orientation="landscape" horizontalDpi="4294967292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L18"/>
  <sheetViews>
    <sheetView zoomScaleNormal="100" zoomScaleSheetLayoutView="115" workbookViewId="0">
      <selection activeCell="F2" sqref="F2"/>
    </sheetView>
  </sheetViews>
  <sheetFormatPr defaultColWidth="9.140625" defaultRowHeight="12.75" x14ac:dyDescent="0.2"/>
  <cols>
    <col min="1" max="1" width="5.85546875" style="105" bestFit="1" customWidth="1"/>
    <col min="2" max="2" width="12.5703125" style="105" customWidth="1"/>
    <col min="3" max="3" width="32" style="105" customWidth="1"/>
    <col min="4" max="4" width="5" style="105" bestFit="1" customWidth="1"/>
    <col min="5" max="5" width="6.28515625" style="105" bestFit="1" customWidth="1"/>
    <col min="6" max="7" width="11.5703125" style="105" bestFit="1" customWidth="1"/>
    <col min="8" max="8" width="16.5703125" style="105" bestFit="1" customWidth="1"/>
    <col min="9" max="9" width="9.140625" style="106"/>
    <col min="10" max="10" width="9.140625" style="59"/>
    <col min="11" max="11" width="13.28515625" style="105" bestFit="1" customWidth="1"/>
    <col min="12" max="16384" width="9.140625" style="105"/>
  </cols>
  <sheetData>
    <row r="1" spans="1:12" ht="25.5" x14ac:dyDescent="0.2">
      <c r="A1" s="48" t="s">
        <v>0</v>
      </c>
      <c r="B1" s="49" t="s">
        <v>1</v>
      </c>
      <c r="C1" s="49" t="s">
        <v>2</v>
      </c>
      <c r="D1" s="49" t="s">
        <v>3</v>
      </c>
      <c r="E1" s="49" t="s">
        <v>13</v>
      </c>
      <c r="F1" s="50" t="s">
        <v>11</v>
      </c>
      <c r="G1" s="50" t="s">
        <v>303</v>
      </c>
      <c r="H1" s="50" t="s">
        <v>12</v>
      </c>
      <c r="I1" s="40" t="s">
        <v>17</v>
      </c>
      <c r="J1" s="59" t="s">
        <v>110</v>
      </c>
      <c r="K1" s="42" t="s">
        <v>10</v>
      </c>
      <c r="L1" s="105" t="s">
        <v>14</v>
      </c>
    </row>
    <row r="2" spans="1:12" s="59" customFormat="1" ht="102" x14ac:dyDescent="0.2">
      <c r="A2" s="51">
        <v>1</v>
      </c>
      <c r="B2" s="54" t="s">
        <v>343</v>
      </c>
      <c r="C2" s="53" t="s">
        <v>346</v>
      </c>
      <c r="D2" s="51" t="s">
        <v>109</v>
      </c>
      <c r="E2" s="51">
        <v>2</v>
      </c>
      <c r="F2" s="55">
        <f t="shared" ref="F2" si="0">I2*85*1.33</f>
        <v>73482.5</v>
      </c>
      <c r="G2" s="55">
        <f>F2*18%</f>
        <v>13226.85</v>
      </c>
      <c r="H2" s="56">
        <f>E2*(F2+G2)</f>
        <v>173418.7</v>
      </c>
      <c r="I2" s="89">
        <v>650</v>
      </c>
      <c r="K2" s="94">
        <v>515</v>
      </c>
    </row>
    <row r="3" spans="1:12" x14ac:dyDescent="0.2">
      <c r="A3" s="51">
        <v>2</v>
      </c>
      <c r="B3" s="343" t="s">
        <v>7</v>
      </c>
      <c r="C3" s="343"/>
      <c r="D3" s="343"/>
      <c r="E3" s="343"/>
      <c r="F3" s="343"/>
      <c r="G3" s="343"/>
      <c r="H3" s="107">
        <f>SUM(H2:H2)</f>
        <v>173418.7</v>
      </c>
      <c r="I3" s="46"/>
      <c r="J3" s="105"/>
      <c r="K3" s="47"/>
    </row>
    <row r="4" spans="1:12" x14ac:dyDescent="0.2">
      <c r="A4" s="344"/>
      <c r="B4" s="345"/>
      <c r="C4" s="345"/>
      <c r="D4" s="345"/>
      <c r="E4" s="345"/>
      <c r="F4" s="345"/>
      <c r="G4" s="345"/>
      <c r="H4" s="346"/>
      <c r="J4" s="105"/>
    </row>
    <row r="5" spans="1:12" ht="140.25" x14ac:dyDescent="0.2">
      <c r="A5" s="58" t="s">
        <v>9</v>
      </c>
      <c r="B5" s="335" t="s">
        <v>332</v>
      </c>
      <c r="C5" s="335"/>
      <c r="D5" s="335"/>
      <c r="E5" s="335"/>
      <c r="F5" s="335"/>
      <c r="G5" s="335"/>
      <c r="H5" s="336"/>
      <c r="J5" s="105"/>
    </row>
    <row r="6" spans="1:12" x14ac:dyDescent="0.2">
      <c r="A6" s="59"/>
      <c r="B6" s="59"/>
      <c r="C6" s="59"/>
      <c r="D6" s="59"/>
      <c r="E6" s="59"/>
      <c r="F6" s="59"/>
      <c r="G6" s="59"/>
      <c r="H6" s="59"/>
      <c r="J6" s="105"/>
    </row>
    <row r="7" spans="1:12" x14ac:dyDescent="0.2">
      <c r="A7" s="59"/>
      <c r="B7" s="59"/>
      <c r="C7" s="59"/>
      <c r="D7" s="59"/>
      <c r="E7" s="59"/>
      <c r="F7" s="59"/>
      <c r="G7" s="59"/>
      <c r="H7" s="59"/>
      <c r="J7" s="105"/>
    </row>
    <row r="8" spans="1:12" x14ac:dyDescent="0.2">
      <c r="A8" s="59"/>
      <c r="B8" s="59"/>
      <c r="C8" s="59"/>
      <c r="D8" s="59"/>
      <c r="E8" s="59"/>
      <c r="F8" s="59"/>
      <c r="G8" s="59"/>
      <c r="H8" s="59"/>
      <c r="J8" s="105"/>
    </row>
    <row r="9" spans="1:12" x14ac:dyDescent="0.2">
      <c r="A9" s="59"/>
      <c r="B9" s="59"/>
      <c r="C9" s="59"/>
      <c r="D9" s="59"/>
      <c r="E9" s="59"/>
      <c r="F9" s="59"/>
      <c r="G9" s="59"/>
      <c r="H9" s="59"/>
      <c r="J9" s="105"/>
    </row>
    <row r="10" spans="1:12" x14ac:dyDescent="0.2">
      <c r="A10" s="59"/>
      <c r="B10" s="59"/>
      <c r="C10" s="59"/>
      <c r="D10" s="59"/>
      <c r="E10" s="59"/>
      <c r="F10" s="59"/>
      <c r="G10" s="59"/>
      <c r="H10" s="59"/>
      <c r="J10" s="105"/>
    </row>
    <row r="11" spans="1:12" x14ac:dyDescent="0.2">
      <c r="A11" s="59"/>
      <c r="B11" s="59"/>
      <c r="C11" s="59"/>
      <c r="D11" s="59"/>
      <c r="E11" s="59"/>
      <c r="F11" s="59"/>
      <c r="G11" s="59"/>
      <c r="H11" s="59"/>
      <c r="J11" s="105"/>
    </row>
    <row r="12" spans="1:12" s="106" customFormat="1" x14ac:dyDescent="0.2">
      <c r="A12" s="59"/>
      <c r="B12" s="59"/>
      <c r="C12" s="59"/>
      <c r="D12" s="59"/>
      <c r="E12" s="59"/>
      <c r="F12" s="59"/>
      <c r="G12" s="59"/>
      <c r="H12" s="59"/>
      <c r="K12" s="105"/>
    </row>
    <row r="13" spans="1:12" x14ac:dyDescent="0.2">
      <c r="J13" s="105"/>
    </row>
    <row r="14" spans="1:12" x14ac:dyDescent="0.2">
      <c r="J14" s="105"/>
    </row>
    <row r="15" spans="1:12" x14ac:dyDescent="0.2">
      <c r="J15" s="105"/>
    </row>
    <row r="16" spans="1:12" x14ac:dyDescent="0.2">
      <c r="J16" s="105"/>
    </row>
    <row r="17" spans="10:10" x14ac:dyDescent="0.2">
      <c r="J17" s="105"/>
    </row>
    <row r="18" spans="10:10" x14ac:dyDescent="0.2">
      <c r="J18" s="105"/>
    </row>
  </sheetData>
  <mergeCells count="3">
    <mergeCell ref="B3:G3"/>
    <mergeCell ref="A4:H4"/>
    <mergeCell ref="B5:H5"/>
  </mergeCells>
  <printOptions horizontalCentered="1"/>
  <pageMargins left="0.25" right="0.25" top="0.5" bottom="0.5" header="0.3" footer="0.05"/>
  <pageSetup scale="79" orientation="landscape" horizontalDpi="4294967292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L18"/>
  <sheetViews>
    <sheetView zoomScaleNormal="100" zoomScaleSheetLayoutView="115" workbookViewId="0">
      <selection activeCell="J5" sqref="J5"/>
    </sheetView>
  </sheetViews>
  <sheetFormatPr defaultColWidth="9.140625" defaultRowHeight="12.75" x14ac:dyDescent="0.2"/>
  <cols>
    <col min="1" max="1" width="5.85546875" style="105" bestFit="1" customWidth="1"/>
    <col min="2" max="2" width="12.5703125" style="105" customWidth="1"/>
    <col min="3" max="3" width="32" style="105" customWidth="1"/>
    <col min="4" max="4" width="5" style="105" bestFit="1" customWidth="1"/>
    <col min="5" max="5" width="6.28515625" style="105" bestFit="1" customWidth="1"/>
    <col min="6" max="7" width="11.5703125" style="105" bestFit="1" customWidth="1"/>
    <col min="8" max="8" width="16.5703125" style="105" bestFit="1" customWidth="1"/>
    <col min="9" max="9" width="9.140625" style="106"/>
    <col min="10" max="10" width="9.140625" style="59"/>
    <col min="11" max="11" width="13.28515625" style="105" bestFit="1" customWidth="1"/>
    <col min="12" max="16384" width="9.140625" style="105"/>
  </cols>
  <sheetData>
    <row r="1" spans="1:12" ht="25.5" x14ac:dyDescent="0.2">
      <c r="A1" s="48" t="s">
        <v>0</v>
      </c>
      <c r="B1" s="49" t="s">
        <v>1</v>
      </c>
      <c r="C1" s="49" t="s">
        <v>2</v>
      </c>
      <c r="D1" s="49" t="s">
        <v>3</v>
      </c>
      <c r="E1" s="49" t="s">
        <v>13</v>
      </c>
      <c r="F1" s="50" t="s">
        <v>11</v>
      </c>
      <c r="G1" s="50" t="s">
        <v>303</v>
      </c>
      <c r="H1" s="50" t="s">
        <v>12</v>
      </c>
      <c r="I1" s="40" t="s">
        <v>17</v>
      </c>
      <c r="J1" s="59" t="s">
        <v>110</v>
      </c>
      <c r="K1" s="42" t="s">
        <v>10</v>
      </c>
      <c r="L1" s="105" t="s">
        <v>14</v>
      </c>
    </row>
    <row r="2" spans="1:12" s="59" customFormat="1" ht="38.25" x14ac:dyDescent="0.2">
      <c r="A2" s="51">
        <v>1</v>
      </c>
      <c r="B2" s="54" t="s">
        <v>344</v>
      </c>
      <c r="C2" s="53" t="s">
        <v>345</v>
      </c>
      <c r="D2" s="51" t="s">
        <v>109</v>
      </c>
      <c r="E2" s="51">
        <v>1</v>
      </c>
      <c r="F2" s="55">
        <f>I2*83*1.3</f>
        <v>490945</v>
      </c>
      <c r="G2" s="55">
        <f>F2*18%</f>
        <v>88370.099999999991</v>
      </c>
      <c r="H2" s="56">
        <f>E2*(F2+G2)</f>
        <v>579315.1</v>
      </c>
      <c r="I2" s="89">
        <v>4550</v>
      </c>
      <c r="J2" s="59">
        <v>4450</v>
      </c>
      <c r="K2" s="94"/>
    </row>
    <row r="3" spans="1:12" x14ac:dyDescent="0.2">
      <c r="A3" s="51">
        <v>2</v>
      </c>
      <c r="B3" s="343" t="s">
        <v>7</v>
      </c>
      <c r="C3" s="343"/>
      <c r="D3" s="343"/>
      <c r="E3" s="343"/>
      <c r="F3" s="343"/>
      <c r="G3" s="343"/>
      <c r="H3" s="107">
        <f>SUM(H2:H2)</f>
        <v>579315.1</v>
      </c>
      <c r="I3" s="46"/>
      <c r="J3" s="105"/>
      <c r="K3" s="47"/>
    </row>
    <row r="4" spans="1:12" x14ac:dyDescent="0.2">
      <c r="A4" s="344"/>
      <c r="B4" s="345"/>
      <c r="C4" s="345"/>
      <c r="D4" s="345"/>
      <c r="E4" s="345"/>
      <c r="F4" s="345"/>
      <c r="G4" s="345"/>
      <c r="H4" s="346"/>
      <c r="J4" s="105"/>
    </row>
    <row r="5" spans="1:12" ht="140.25" x14ac:dyDescent="0.2">
      <c r="A5" s="58" t="s">
        <v>9</v>
      </c>
      <c r="B5" s="335" t="s">
        <v>332</v>
      </c>
      <c r="C5" s="335"/>
      <c r="D5" s="335"/>
      <c r="E5" s="335"/>
      <c r="F5" s="335"/>
      <c r="G5" s="335"/>
      <c r="H5" s="336"/>
      <c r="J5" s="105"/>
    </row>
    <row r="6" spans="1:12" x14ac:dyDescent="0.2">
      <c r="A6" s="59"/>
      <c r="B6" s="59"/>
      <c r="C6" s="59"/>
      <c r="D6" s="59"/>
      <c r="E6" s="59"/>
      <c r="F6" s="59"/>
      <c r="G6" s="59"/>
      <c r="H6" s="59"/>
      <c r="J6" s="105"/>
    </row>
    <row r="7" spans="1:12" x14ac:dyDescent="0.2">
      <c r="A7" s="59"/>
      <c r="B7" s="59"/>
      <c r="C7" s="59"/>
      <c r="D7" s="59"/>
      <c r="E7" s="59"/>
      <c r="F7" s="59"/>
      <c r="G7" s="59"/>
      <c r="H7" s="59"/>
      <c r="J7" s="105"/>
    </row>
    <row r="8" spans="1:12" x14ac:dyDescent="0.2">
      <c r="A8" s="59"/>
      <c r="B8" s="59"/>
      <c r="C8" s="59"/>
      <c r="D8" s="59"/>
      <c r="E8" s="59"/>
      <c r="F8" s="59"/>
      <c r="G8" s="59"/>
      <c r="H8" s="59"/>
      <c r="J8" s="105"/>
    </row>
    <row r="9" spans="1:12" x14ac:dyDescent="0.2">
      <c r="A9" s="59"/>
      <c r="B9" s="59"/>
      <c r="C9" s="59"/>
      <c r="D9" s="59"/>
      <c r="E9" s="59"/>
      <c r="F9" s="59"/>
      <c r="G9" s="59"/>
      <c r="H9" s="59"/>
      <c r="J9" s="105"/>
    </row>
    <row r="10" spans="1:12" x14ac:dyDescent="0.2">
      <c r="A10" s="59"/>
      <c r="B10" s="59"/>
      <c r="C10" s="59"/>
      <c r="D10" s="59"/>
      <c r="E10" s="59"/>
      <c r="F10" s="59"/>
      <c r="G10" s="59"/>
      <c r="H10" s="59"/>
      <c r="J10" s="105"/>
    </row>
    <row r="11" spans="1:12" x14ac:dyDescent="0.2">
      <c r="A11" s="59"/>
      <c r="B11" s="59"/>
      <c r="C11" s="59"/>
      <c r="D11" s="59"/>
      <c r="E11" s="59"/>
      <c r="F11" s="59"/>
      <c r="G11" s="59"/>
      <c r="H11" s="59"/>
      <c r="J11" s="105"/>
    </row>
    <row r="12" spans="1:12" s="106" customFormat="1" x14ac:dyDescent="0.2">
      <c r="A12" s="59"/>
      <c r="B12" s="59"/>
      <c r="C12" s="59"/>
      <c r="D12" s="59"/>
      <c r="E12" s="59"/>
      <c r="F12" s="59"/>
      <c r="G12" s="59"/>
      <c r="H12" s="59"/>
      <c r="K12" s="105"/>
    </row>
    <row r="13" spans="1:12" x14ac:dyDescent="0.2">
      <c r="J13" s="105"/>
    </row>
    <row r="14" spans="1:12" x14ac:dyDescent="0.2">
      <c r="J14" s="105"/>
    </row>
    <row r="15" spans="1:12" x14ac:dyDescent="0.2">
      <c r="J15" s="105"/>
    </row>
    <row r="16" spans="1:12" x14ac:dyDescent="0.2">
      <c r="J16" s="105"/>
    </row>
    <row r="17" spans="10:10" x14ac:dyDescent="0.2">
      <c r="J17" s="105"/>
    </row>
    <row r="18" spans="10:10" x14ac:dyDescent="0.2">
      <c r="J18" s="105"/>
    </row>
  </sheetData>
  <mergeCells count="3">
    <mergeCell ref="B3:G3"/>
    <mergeCell ref="A4:H4"/>
    <mergeCell ref="B5:H5"/>
  </mergeCells>
  <printOptions horizontalCentered="1"/>
  <pageMargins left="0.25" right="0.25" top="0.5" bottom="0.5" header="0.3" footer="0.05"/>
  <pageSetup scale="79" orientation="landscape" horizontalDpi="4294967292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L19"/>
  <sheetViews>
    <sheetView zoomScaleNormal="100" zoomScaleSheetLayoutView="115" workbookViewId="0">
      <selection activeCell="C2" sqref="C2"/>
    </sheetView>
  </sheetViews>
  <sheetFormatPr defaultColWidth="9.140625" defaultRowHeight="12.75" x14ac:dyDescent="0.2"/>
  <cols>
    <col min="1" max="1" width="5.85546875" style="105" bestFit="1" customWidth="1"/>
    <col min="2" max="2" width="12.5703125" style="105" customWidth="1"/>
    <col min="3" max="3" width="32" style="105" customWidth="1"/>
    <col min="4" max="4" width="5" style="105" bestFit="1" customWidth="1"/>
    <col min="5" max="5" width="6.28515625" style="105" bestFit="1" customWidth="1"/>
    <col min="6" max="7" width="11.5703125" style="105" bestFit="1" customWidth="1"/>
    <col min="8" max="8" width="16.5703125" style="105" bestFit="1" customWidth="1"/>
    <col min="9" max="9" width="9.140625" style="106"/>
    <col min="10" max="10" width="9.140625" style="59"/>
    <col min="11" max="11" width="13.28515625" style="105" bestFit="1" customWidth="1"/>
    <col min="12" max="16384" width="9.140625" style="105"/>
  </cols>
  <sheetData>
    <row r="1" spans="1:12" ht="25.5" x14ac:dyDescent="0.2">
      <c r="A1" s="48" t="s">
        <v>0</v>
      </c>
      <c r="B1" s="49" t="s">
        <v>1</v>
      </c>
      <c r="C1" s="49" t="s">
        <v>2</v>
      </c>
      <c r="D1" s="49" t="s">
        <v>3</v>
      </c>
      <c r="E1" s="49" t="s">
        <v>13</v>
      </c>
      <c r="F1" s="50" t="s">
        <v>11</v>
      </c>
      <c r="G1" s="50" t="s">
        <v>303</v>
      </c>
      <c r="H1" s="50" t="s">
        <v>12</v>
      </c>
      <c r="I1" s="40" t="s">
        <v>17</v>
      </c>
      <c r="J1" s="59" t="s">
        <v>347</v>
      </c>
      <c r="K1" s="42" t="s">
        <v>10</v>
      </c>
      <c r="L1" s="105" t="s">
        <v>14</v>
      </c>
    </row>
    <row r="2" spans="1:12" s="59" customFormat="1" ht="38.25" x14ac:dyDescent="0.2">
      <c r="A2" s="51">
        <v>1</v>
      </c>
      <c r="B2" s="51">
        <v>4000012389</v>
      </c>
      <c r="C2" s="53" t="s">
        <v>348</v>
      </c>
      <c r="D2" s="51" t="s">
        <v>109</v>
      </c>
      <c r="E2" s="51">
        <v>1</v>
      </c>
      <c r="F2" s="55">
        <f>I2*88*1.32</f>
        <v>836352</v>
      </c>
      <c r="G2" s="55">
        <f>F2*18%</f>
        <v>150543.35999999999</v>
      </c>
      <c r="H2" s="56">
        <f>E2*(F2+G2)</f>
        <v>986895.35999999999</v>
      </c>
      <c r="I2" s="89">
        <v>7200</v>
      </c>
      <c r="J2" s="59">
        <v>6880</v>
      </c>
      <c r="K2" s="94"/>
    </row>
    <row r="3" spans="1:12" s="59" customFormat="1" ht="38.25" x14ac:dyDescent="0.2">
      <c r="A3" s="51">
        <v>2</v>
      </c>
      <c r="B3" s="51">
        <v>4000012390</v>
      </c>
      <c r="C3" s="53" t="s">
        <v>349</v>
      </c>
      <c r="D3" s="51" t="s">
        <v>109</v>
      </c>
      <c r="E3" s="51">
        <v>1</v>
      </c>
      <c r="F3" s="55">
        <f>I3*88*1.32</f>
        <v>406560</v>
      </c>
      <c r="G3" s="55">
        <f>F3*18%</f>
        <v>73180.800000000003</v>
      </c>
      <c r="H3" s="56">
        <f>E3*(F3+G3)</f>
        <v>479740.8</v>
      </c>
      <c r="I3" s="89">
        <v>3500</v>
      </c>
      <c r="J3" s="59">
        <v>3030</v>
      </c>
      <c r="K3" s="94"/>
    </row>
    <row r="4" spans="1:12" x14ac:dyDescent="0.2">
      <c r="A4" s="51">
        <v>3</v>
      </c>
      <c r="B4" s="343" t="s">
        <v>7</v>
      </c>
      <c r="C4" s="343"/>
      <c r="D4" s="343"/>
      <c r="E4" s="343"/>
      <c r="F4" s="343"/>
      <c r="G4" s="343"/>
      <c r="H4" s="107">
        <f>SUM(H2:H3)</f>
        <v>1466636.16</v>
      </c>
      <c r="I4" s="46"/>
      <c r="J4" s="105"/>
      <c r="K4" s="47"/>
    </row>
    <row r="5" spans="1:12" x14ac:dyDescent="0.2">
      <c r="A5" s="344"/>
      <c r="B5" s="345"/>
      <c r="C5" s="345"/>
      <c r="D5" s="345"/>
      <c r="E5" s="345"/>
      <c r="F5" s="345"/>
      <c r="G5" s="345"/>
      <c r="H5" s="346"/>
      <c r="J5" s="105"/>
    </row>
    <row r="6" spans="1:12" ht="140.25" x14ac:dyDescent="0.2">
      <c r="A6" s="58" t="s">
        <v>9</v>
      </c>
      <c r="B6" s="335" t="s">
        <v>350</v>
      </c>
      <c r="C6" s="335"/>
      <c r="D6" s="335"/>
      <c r="E6" s="335"/>
      <c r="F6" s="335"/>
      <c r="G6" s="335"/>
      <c r="H6" s="336"/>
      <c r="J6" s="105"/>
    </row>
    <row r="7" spans="1:12" x14ac:dyDescent="0.2">
      <c r="A7" s="59"/>
      <c r="B7" s="59"/>
      <c r="C7" s="59"/>
      <c r="D7" s="59"/>
      <c r="E7" s="59"/>
      <c r="F7" s="59"/>
      <c r="G7" s="59"/>
      <c r="H7" s="59"/>
      <c r="J7" s="105"/>
    </row>
    <row r="8" spans="1:12" x14ac:dyDescent="0.2">
      <c r="A8" s="59"/>
      <c r="B8" s="59"/>
      <c r="C8" s="59"/>
      <c r="D8" s="59"/>
      <c r="E8" s="59"/>
      <c r="F8" s="59"/>
      <c r="G8" s="59"/>
      <c r="H8" s="59"/>
      <c r="J8" s="105"/>
    </row>
    <row r="9" spans="1:12" x14ac:dyDescent="0.2">
      <c r="A9" s="59"/>
      <c r="B9" s="59"/>
      <c r="C9" s="59"/>
      <c r="D9" s="59"/>
      <c r="E9" s="59"/>
      <c r="F9" s="59"/>
      <c r="G9" s="59"/>
      <c r="H9" s="59"/>
      <c r="J9" s="105"/>
    </row>
    <row r="10" spans="1:12" x14ac:dyDescent="0.2">
      <c r="A10" s="59"/>
      <c r="B10" s="59"/>
      <c r="C10" s="59"/>
      <c r="D10" s="59"/>
      <c r="E10" s="59"/>
      <c r="F10" s="59"/>
      <c r="G10" s="59"/>
      <c r="H10" s="59"/>
      <c r="J10" s="105"/>
    </row>
    <row r="11" spans="1:12" x14ac:dyDescent="0.2">
      <c r="A11" s="59"/>
      <c r="B11" s="59"/>
      <c r="C11" s="59"/>
      <c r="D11" s="59"/>
      <c r="E11" s="59"/>
      <c r="F11" s="59"/>
      <c r="G11" s="59"/>
      <c r="H11" s="59"/>
      <c r="J11" s="105"/>
    </row>
    <row r="12" spans="1:12" x14ac:dyDescent="0.2">
      <c r="A12" s="59"/>
      <c r="B12" s="59"/>
      <c r="C12" s="59"/>
      <c r="D12" s="59"/>
      <c r="E12" s="59"/>
      <c r="F12" s="59"/>
      <c r="G12" s="59"/>
      <c r="H12" s="59"/>
      <c r="J12" s="105"/>
    </row>
    <row r="13" spans="1:12" s="106" customFormat="1" x14ac:dyDescent="0.2">
      <c r="A13" s="59"/>
      <c r="B13" s="59"/>
      <c r="C13" s="59"/>
      <c r="D13" s="59"/>
      <c r="E13" s="59"/>
      <c r="F13" s="59"/>
      <c r="G13" s="59"/>
      <c r="H13" s="59"/>
      <c r="K13" s="105"/>
    </row>
    <row r="14" spans="1:12" x14ac:dyDescent="0.2">
      <c r="J14" s="105"/>
    </row>
    <row r="15" spans="1:12" x14ac:dyDescent="0.2">
      <c r="J15" s="105"/>
    </row>
    <row r="16" spans="1:12" x14ac:dyDescent="0.2">
      <c r="J16" s="105"/>
    </row>
    <row r="17" spans="10:10" x14ac:dyDescent="0.2">
      <c r="J17" s="105"/>
    </row>
    <row r="18" spans="10:10" x14ac:dyDescent="0.2">
      <c r="J18" s="105"/>
    </row>
    <row r="19" spans="10:10" x14ac:dyDescent="0.2">
      <c r="J19" s="105"/>
    </row>
  </sheetData>
  <mergeCells count="3">
    <mergeCell ref="B4:G4"/>
    <mergeCell ref="A5:H5"/>
    <mergeCell ref="B6:H6"/>
  </mergeCells>
  <printOptions horizontalCentered="1"/>
  <pageMargins left="0.25" right="0.25" top="0.5" bottom="0.5" header="0.3" footer="0.05"/>
  <pageSetup scale="79" orientation="landscape" horizontalDpi="4294967292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L29"/>
  <sheetViews>
    <sheetView topLeftCell="A7" zoomScaleNormal="100" zoomScaleSheetLayoutView="115" workbookViewId="0">
      <selection activeCell="C10" sqref="C10"/>
    </sheetView>
  </sheetViews>
  <sheetFormatPr defaultColWidth="9.140625" defaultRowHeight="12.75" x14ac:dyDescent="0.2"/>
  <cols>
    <col min="1" max="1" width="5.85546875" style="105" bestFit="1" customWidth="1"/>
    <col min="2" max="2" width="12.5703125" style="105" customWidth="1"/>
    <col min="3" max="3" width="32" style="105" customWidth="1"/>
    <col min="4" max="4" width="5" style="105" bestFit="1" customWidth="1"/>
    <col min="5" max="5" width="6.28515625" style="105" bestFit="1" customWidth="1"/>
    <col min="6" max="7" width="11.5703125" style="105" bestFit="1" customWidth="1"/>
    <col min="8" max="8" width="16.5703125" style="105" bestFit="1" customWidth="1"/>
    <col min="9" max="9" width="9.140625" style="106"/>
    <col min="10" max="10" width="9.140625" style="59"/>
    <col min="11" max="11" width="13.28515625" style="105" bestFit="1" customWidth="1"/>
    <col min="12" max="16384" width="9.140625" style="105"/>
  </cols>
  <sheetData>
    <row r="1" spans="1:12" ht="25.5" x14ac:dyDescent="0.2">
      <c r="A1" s="48" t="s">
        <v>0</v>
      </c>
      <c r="B1" s="49" t="s">
        <v>5</v>
      </c>
      <c r="C1" s="49" t="s">
        <v>2</v>
      </c>
      <c r="D1" s="49" t="s">
        <v>3</v>
      </c>
      <c r="E1" s="49" t="s">
        <v>13</v>
      </c>
      <c r="F1" s="50" t="s">
        <v>11</v>
      </c>
      <c r="G1" s="50" t="s">
        <v>303</v>
      </c>
      <c r="H1" s="50" t="s">
        <v>12</v>
      </c>
      <c r="I1" s="40" t="s">
        <v>17</v>
      </c>
      <c r="J1" s="59" t="s">
        <v>110</v>
      </c>
      <c r="K1" s="42" t="s">
        <v>10</v>
      </c>
      <c r="L1" s="105" t="s">
        <v>258</v>
      </c>
    </row>
    <row r="2" spans="1:12" s="59" customFormat="1" ht="25.5" x14ac:dyDescent="0.2">
      <c r="A2" s="51">
        <v>1</v>
      </c>
      <c r="B2" s="51">
        <v>3009000036</v>
      </c>
      <c r="C2" s="63" t="s">
        <v>247</v>
      </c>
      <c r="D2" s="54" t="s">
        <v>109</v>
      </c>
      <c r="E2" s="51">
        <v>2</v>
      </c>
      <c r="F2" s="103">
        <f>I2*88*1.33</f>
        <v>105336</v>
      </c>
      <c r="G2" s="55">
        <f t="shared" ref="G2:G6" si="0">F2*18%</f>
        <v>18960.48</v>
      </c>
      <c r="H2" s="56">
        <f t="shared" ref="H2:H6" si="1">E2*(F2+G2)</f>
        <v>248592.96</v>
      </c>
      <c r="I2" s="109">
        <v>900</v>
      </c>
      <c r="K2" s="94">
        <v>690</v>
      </c>
    </row>
    <row r="3" spans="1:12" s="59" customFormat="1" ht="38.25" x14ac:dyDescent="0.2">
      <c r="A3" s="51">
        <v>2</v>
      </c>
      <c r="B3" s="51">
        <v>5101000005</v>
      </c>
      <c r="C3" s="63" t="s">
        <v>352</v>
      </c>
      <c r="D3" s="54" t="s">
        <v>109</v>
      </c>
      <c r="E3" s="51">
        <v>5</v>
      </c>
      <c r="F3" s="103">
        <f t="shared" ref="F3:F13" si="2">I3*88*1.33</f>
        <v>0</v>
      </c>
      <c r="G3" s="55">
        <f t="shared" si="0"/>
        <v>0</v>
      </c>
      <c r="H3" s="56">
        <f t="shared" si="1"/>
        <v>0</v>
      </c>
      <c r="I3" s="109"/>
      <c r="K3" s="94"/>
    </row>
    <row r="4" spans="1:12" s="59" customFormat="1" ht="38.25" x14ac:dyDescent="0.2">
      <c r="A4" s="51">
        <v>3</v>
      </c>
      <c r="B4" s="51">
        <v>5101000006</v>
      </c>
      <c r="C4" s="63" t="s">
        <v>353</v>
      </c>
      <c r="D4" s="54" t="s">
        <v>109</v>
      </c>
      <c r="E4" s="51">
        <v>5</v>
      </c>
      <c r="F4" s="103">
        <f t="shared" si="2"/>
        <v>0</v>
      </c>
      <c r="G4" s="55">
        <f t="shared" si="0"/>
        <v>0</v>
      </c>
      <c r="H4" s="56">
        <f t="shared" si="1"/>
        <v>0</v>
      </c>
      <c r="I4" s="109"/>
      <c r="K4" s="94"/>
    </row>
    <row r="5" spans="1:12" s="59" customFormat="1" ht="38.25" x14ac:dyDescent="0.2">
      <c r="A5" s="51">
        <v>4</v>
      </c>
      <c r="B5" s="51">
        <v>5101000007</v>
      </c>
      <c r="C5" s="63" t="s">
        <v>354</v>
      </c>
      <c r="D5" s="54" t="s">
        <v>109</v>
      </c>
      <c r="E5" s="51">
        <v>5</v>
      </c>
      <c r="F5" s="103">
        <f t="shared" si="2"/>
        <v>0</v>
      </c>
      <c r="G5" s="55">
        <f t="shared" si="0"/>
        <v>0</v>
      </c>
      <c r="H5" s="56">
        <f t="shared" si="1"/>
        <v>0</v>
      </c>
      <c r="I5" s="109"/>
      <c r="K5" s="94"/>
    </row>
    <row r="6" spans="1:12" s="59" customFormat="1" ht="38.25" x14ac:dyDescent="0.2">
      <c r="A6" s="51">
        <v>5</v>
      </c>
      <c r="B6" s="51">
        <v>5101000008</v>
      </c>
      <c r="C6" s="63" t="s">
        <v>355</v>
      </c>
      <c r="D6" s="54" t="s">
        <v>109</v>
      </c>
      <c r="E6" s="51">
        <v>5</v>
      </c>
      <c r="F6" s="103">
        <f t="shared" si="2"/>
        <v>0</v>
      </c>
      <c r="G6" s="55">
        <f t="shared" si="0"/>
        <v>0</v>
      </c>
      <c r="H6" s="56">
        <f t="shared" si="1"/>
        <v>0</v>
      </c>
      <c r="I6" s="109"/>
      <c r="K6" s="94"/>
    </row>
    <row r="7" spans="1:12" s="59" customFormat="1" ht="38.25" x14ac:dyDescent="0.2">
      <c r="A7" s="51">
        <v>6</v>
      </c>
      <c r="B7" s="51">
        <v>5101000009</v>
      </c>
      <c r="C7" s="63" t="s">
        <v>356</v>
      </c>
      <c r="D7" s="54" t="s">
        <v>109</v>
      </c>
      <c r="E7" s="51">
        <v>5</v>
      </c>
      <c r="F7" s="103">
        <f t="shared" si="2"/>
        <v>0</v>
      </c>
      <c r="G7" s="55">
        <f t="shared" ref="G7:G13" si="3">F7*18%</f>
        <v>0</v>
      </c>
      <c r="H7" s="56">
        <f t="shared" ref="H7:H13" si="4">E7*(F7+G7)</f>
        <v>0</v>
      </c>
      <c r="I7" s="109"/>
      <c r="K7" s="94"/>
    </row>
    <row r="8" spans="1:12" s="59" customFormat="1" ht="38.25" x14ac:dyDescent="0.2">
      <c r="A8" s="51">
        <v>7</v>
      </c>
      <c r="B8" s="51">
        <v>5101000010</v>
      </c>
      <c r="C8" s="63" t="s">
        <v>357</v>
      </c>
      <c r="D8" s="54" t="s">
        <v>109</v>
      </c>
      <c r="E8" s="51">
        <v>5</v>
      </c>
      <c r="F8" s="103">
        <f t="shared" si="2"/>
        <v>0</v>
      </c>
      <c r="G8" s="55">
        <f t="shared" si="3"/>
        <v>0</v>
      </c>
      <c r="H8" s="56">
        <f t="shared" si="4"/>
        <v>0</v>
      </c>
      <c r="I8" s="109"/>
      <c r="K8" s="94"/>
    </row>
    <row r="9" spans="1:12" s="59" customFormat="1" ht="25.5" x14ac:dyDescent="0.2">
      <c r="A9" s="51">
        <v>8</v>
      </c>
      <c r="B9" s="51">
        <v>5102000018</v>
      </c>
      <c r="C9" s="63" t="s">
        <v>299</v>
      </c>
      <c r="D9" s="54" t="s">
        <v>109</v>
      </c>
      <c r="E9" s="51">
        <v>4</v>
      </c>
      <c r="F9" s="103">
        <f t="shared" si="2"/>
        <v>31600.800000000003</v>
      </c>
      <c r="G9" s="55">
        <f t="shared" si="3"/>
        <v>5688.1440000000002</v>
      </c>
      <c r="H9" s="56">
        <f t="shared" si="4"/>
        <v>149155.77600000001</v>
      </c>
      <c r="I9" s="109">
        <v>270</v>
      </c>
      <c r="K9" s="94">
        <v>230</v>
      </c>
    </row>
    <row r="10" spans="1:12" s="59" customFormat="1" ht="38.25" x14ac:dyDescent="0.2">
      <c r="A10" s="51">
        <v>9</v>
      </c>
      <c r="B10" s="51">
        <v>5002990026</v>
      </c>
      <c r="C10" s="63" t="s">
        <v>246</v>
      </c>
      <c r="D10" s="54" t="s">
        <v>109</v>
      </c>
      <c r="E10" s="51">
        <v>10</v>
      </c>
      <c r="F10" s="103">
        <f t="shared" si="2"/>
        <v>9363.2000000000007</v>
      </c>
      <c r="G10" s="55">
        <f t="shared" si="3"/>
        <v>1685.376</v>
      </c>
      <c r="H10" s="56">
        <f t="shared" si="4"/>
        <v>110485.76000000001</v>
      </c>
      <c r="I10" s="109">
        <v>80</v>
      </c>
      <c r="K10" s="94"/>
    </row>
    <row r="11" spans="1:12" s="59" customFormat="1" ht="38.25" x14ac:dyDescent="0.2">
      <c r="A11" s="51">
        <v>10</v>
      </c>
      <c r="B11" s="51">
        <v>5301000001</v>
      </c>
      <c r="C11" s="63" t="s">
        <v>214</v>
      </c>
      <c r="D11" s="54" t="s">
        <v>109</v>
      </c>
      <c r="E11" s="51">
        <v>20</v>
      </c>
      <c r="F11" s="103">
        <f t="shared" si="2"/>
        <v>1404.48</v>
      </c>
      <c r="G11" s="55">
        <f t="shared" si="3"/>
        <v>252.8064</v>
      </c>
      <c r="H11" s="56">
        <f t="shared" si="4"/>
        <v>33145.728000000003</v>
      </c>
      <c r="I11" s="109">
        <v>12</v>
      </c>
      <c r="K11" s="94">
        <v>8</v>
      </c>
    </row>
    <row r="12" spans="1:12" s="59" customFormat="1" ht="38.25" x14ac:dyDescent="0.2">
      <c r="A12" s="51">
        <v>11</v>
      </c>
      <c r="B12" s="51">
        <v>5209000243</v>
      </c>
      <c r="C12" s="63" t="s">
        <v>300</v>
      </c>
      <c r="D12" s="54" t="s">
        <v>109</v>
      </c>
      <c r="E12" s="51">
        <v>15</v>
      </c>
      <c r="F12" s="103">
        <f t="shared" si="2"/>
        <v>4681.6000000000004</v>
      </c>
      <c r="G12" s="55">
        <f t="shared" si="3"/>
        <v>842.68799999999999</v>
      </c>
      <c r="H12" s="56">
        <f t="shared" si="4"/>
        <v>82864.320000000007</v>
      </c>
      <c r="I12" s="109">
        <v>40</v>
      </c>
      <c r="K12" s="94">
        <v>32</v>
      </c>
    </row>
    <row r="13" spans="1:12" s="59" customFormat="1" ht="153" x14ac:dyDescent="0.2">
      <c r="A13" s="51">
        <v>12</v>
      </c>
      <c r="B13" s="51">
        <v>5205000024</v>
      </c>
      <c r="C13" s="63" t="s">
        <v>317</v>
      </c>
      <c r="D13" s="54" t="s">
        <v>109</v>
      </c>
      <c r="E13" s="51">
        <v>2</v>
      </c>
      <c r="F13" s="103">
        <f t="shared" si="2"/>
        <v>35112</v>
      </c>
      <c r="G13" s="55">
        <f t="shared" si="3"/>
        <v>6320.16</v>
      </c>
      <c r="H13" s="56">
        <f t="shared" si="4"/>
        <v>82864.320000000007</v>
      </c>
      <c r="I13" s="109">
        <v>300</v>
      </c>
      <c r="K13" s="94"/>
    </row>
    <row r="14" spans="1:12" x14ac:dyDescent="0.2">
      <c r="A14" s="51">
        <v>13</v>
      </c>
      <c r="B14" s="343" t="s">
        <v>7</v>
      </c>
      <c r="C14" s="343"/>
      <c r="D14" s="343"/>
      <c r="E14" s="343"/>
      <c r="F14" s="343"/>
      <c r="G14" s="343"/>
      <c r="H14" s="107">
        <f>SUM(H2:H13)</f>
        <v>707108.86400000006</v>
      </c>
      <c r="I14" s="46"/>
      <c r="J14" s="105"/>
      <c r="K14" s="47"/>
    </row>
    <row r="15" spans="1:12" x14ac:dyDescent="0.2">
      <c r="A15" s="347"/>
      <c r="B15" s="347"/>
      <c r="C15" s="347"/>
      <c r="D15" s="347"/>
      <c r="E15" s="347"/>
      <c r="F15" s="347"/>
      <c r="G15" s="347"/>
      <c r="H15" s="347"/>
      <c r="J15" s="105"/>
    </row>
    <row r="16" spans="1:12" ht="140.25" x14ac:dyDescent="0.2">
      <c r="A16" s="110" t="s">
        <v>9</v>
      </c>
      <c r="B16" s="348" t="s">
        <v>265</v>
      </c>
      <c r="C16" s="348"/>
      <c r="D16" s="348"/>
      <c r="E16" s="348"/>
      <c r="F16" s="348"/>
      <c r="G16" s="348"/>
      <c r="H16" s="348"/>
      <c r="J16" s="105"/>
    </row>
    <row r="17" spans="1:11" x14ac:dyDescent="0.2">
      <c r="A17" s="59"/>
      <c r="B17" s="59"/>
      <c r="C17" s="59"/>
      <c r="D17" s="59"/>
      <c r="E17" s="59"/>
      <c r="F17" s="59"/>
      <c r="G17" s="59"/>
      <c r="H17" s="59"/>
      <c r="J17" s="105"/>
    </row>
    <row r="18" spans="1:11" x14ac:dyDescent="0.2">
      <c r="A18" s="59"/>
      <c r="B18" s="59"/>
      <c r="C18" s="59"/>
      <c r="D18" s="59"/>
      <c r="E18" s="59"/>
      <c r="F18" s="59"/>
      <c r="G18" s="59"/>
      <c r="H18" s="59"/>
      <c r="J18" s="105"/>
    </row>
    <row r="19" spans="1:11" x14ac:dyDescent="0.2">
      <c r="A19" s="59"/>
      <c r="B19" s="59"/>
      <c r="C19" s="59"/>
      <c r="D19" s="59"/>
      <c r="E19" s="59"/>
      <c r="F19" s="59"/>
      <c r="G19" s="59"/>
      <c r="H19" s="59"/>
      <c r="J19" s="105"/>
    </row>
    <row r="20" spans="1:11" x14ac:dyDescent="0.2">
      <c r="A20" s="59"/>
      <c r="B20" s="59"/>
      <c r="C20" s="59"/>
      <c r="D20" s="59"/>
      <c r="E20" s="59"/>
      <c r="F20" s="59"/>
      <c r="G20" s="59"/>
      <c r="H20" s="59"/>
      <c r="J20" s="105"/>
    </row>
    <row r="21" spans="1:11" x14ac:dyDescent="0.2">
      <c r="A21" s="59"/>
      <c r="B21" s="59"/>
      <c r="C21" s="59"/>
      <c r="D21" s="59"/>
      <c r="E21" s="59"/>
      <c r="F21" s="59"/>
      <c r="G21" s="59"/>
      <c r="H21" s="59"/>
      <c r="J21" s="105"/>
    </row>
    <row r="22" spans="1:11" x14ac:dyDescent="0.2">
      <c r="A22" s="59"/>
      <c r="B22" s="59"/>
      <c r="C22" s="59"/>
      <c r="D22" s="59"/>
      <c r="E22" s="59"/>
      <c r="F22" s="59"/>
      <c r="G22" s="59"/>
      <c r="H22" s="59"/>
      <c r="J22" s="105"/>
    </row>
    <row r="23" spans="1:11" s="106" customFormat="1" x14ac:dyDescent="0.2">
      <c r="A23" s="59"/>
      <c r="B23" s="59"/>
      <c r="C23" s="59"/>
      <c r="D23" s="59"/>
      <c r="E23" s="59"/>
      <c r="F23" s="59"/>
      <c r="G23" s="59"/>
      <c r="H23" s="59"/>
      <c r="K23" s="105"/>
    </row>
    <row r="24" spans="1:11" x14ac:dyDescent="0.2">
      <c r="J24" s="105"/>
    </row>
    <row r="25" spans="1:11" x14ac:dyDescent="0.2">
      <c r="J25" s="105"/>
    </row>
    <row r="26" spans="1:11" x14ac:dyDescent="0.2">
      <c r="J26" s="105"/>
    </row>
    <row r="27" spans="1:11" x14ac:dyDescent="0.2">
      <c r="J27" s="105"/>
    </row>
    <row r="28" spans="1:11" x14ac:dyDescent="0.2">
      <c r="J28" s="105"/>
    </row>
    <row r="29" spans="1:11" x14ac:dyDescent="0.2">
      <c r="J29" s="105"/>
    </row>
  </sheetData>
  <mergeCells count="3">
    <mergeCell ref="B14:G14"/>
    <mergeCell ref="A15:H15"/>
    <mergeCell ref="B16:H16"/>
  </mergeCells>
  <printOptions horizontalCentered="1"/>
  <pageMargins left="0.25" right="0.25" top="0.5" bottom="0.5" header="0.3" footer="0.05"/>
  <pageSetup scale="79" orientation="landscape" horizontalDpi="4294967292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L18"/>
  <sheetViews>
    <sheetView zoomScaleNormal="100" zoomScaleSheetLayoutView="115" workbookViewId="0">
      <selection activeCell="C1" sqref="C1"/>
    </sheetView>
  </sheetViews>
  <sheetFormatPr defaultColWidth="9.140625" defaultRowHeight="12.75" x14ac:dyDescent="0.2"/>
  <cols>
    <col min="1" max="1" width="5.85546875" style="105" bestFit="1" customWidth="1"/>
    <col min="2" max="2" width="12.5703125" style="105" customWidth="1"/>
    <col min="3" max="3" width="35.28515625" style="105" customWidth="1"/>
    <col min="4" max="4" width="5" style="105" bestFit="1" customWidth="1"/>
    <col min="5" max="5" width="6.28515625" style="105" bestFit="1" customWidth="1"/>
    <col min="6" max="7" width="11.5703125" style="105" bestFit="1" customWidth="1"/>
    <col min="8" max="8" width="16.5703125" style="105" bestFit="1" customWidth="1"/>
    <col min="9" max="9" width="9.140625" style="106"/>
    <col min="10" max="10" width="9.140625" style="59"/>
    <col min="11" max="11" width="13.28515625" style="105" bestFit="1" customWidth="1"/>
    <col min="12" max="16384" width="9.140625" style="105"/>
  </cols>
  <sheetData>
    <row r="1" spans="1:12" ht="25.5" x14ac:dyDescent="0.2">
      <c r="A1" s="48" t="s">
        <v>0</v>
      </c>
      <c r="B1" s="49" t="s">
        <v>5</v>
      </c>
      <c r="C1" s="49" t="s">
        <v>2</v>
      </c>
      <c r="D1" s="49" t="s">
        <v>3</v>
      </c>
      <c r="E1" s="49" t="s">
        <v>13</v>
      </c>
      <c r="F1" s="50" t="s">
        <v>11</v>
      </c>
      <c r="G1" s="50" t="s">
        <v>303</v>
      </c>
      <c r="H1" s="50" t="s">
        <v>12</v>
      </c>
      <c r="I1" s="40" t="s">
        <v>17</v>
      </c>
      <c r="J1" s="59" t="s">
        <v>110</v>
      </c>
      <c r="K1" s="42" t="s">
        <v>10</v>
      </c>
      <c r="L1" s="105" t="s">
        <v>258</v>
      </c>
    </row>
    <row r="2" spans="1:12" s="59" customFormat="1" ht="63.75" x14ac:dyDescent="0.2">
      <c r="A2" s="51">
        <v>1</v>
      </c>
      <c r="B2" s="51">
        <v>4000006791</v>
      </c>
      <c r="C2" s="63" t="s">
        <v>358</v>
      </c>
      <c r="D2" s="54" t="s">
        <v>109</v>
      </c>
      <c r="E2" s="51">
        <v>10</v>
      </c>
      <c r="F2" s="103">
        <f>I2*88*1.33</f>
        <v>76076</v>
      </c>
      <c r="G2" s="55">
        <f t="shared" ref="G2" si="0">F2*18%</f>
        <v>13693.68</v>
      </c>
      <c r="H2" s="56">
        <f t="shared" ref="H2" si="1">E2*(F2+G2)</f>
        <v>897696.79999999993</v>
      </c>
      <c r="I2" s="109">
        <v>650</v>
      </c>
      <c r="K2" s="94">
        <v>620</v>
      </c>
    </row>
    <row r="3" spans="1:12" x14ac:dyDescent="0.2">
      <c r="A3" s="51">
        <v>2</v>
      </c>
      <c r="B3" s="343" t="s">
        <v>7</v>
      </c>
      <c r="C3" s="343"/>
      <c r="D3" s="343"/>
      <c r="E3" s="343"/>
      <c r="F3" s="343"/>
      <c r="G3" s="343"/>
      <c r="H3" s="107">
        <f>SUM(H2:H2)</f>
        <v>897696.79999999993</v>
      </c>
      <c r="I3" s="46"/>
      <c r="J3" s="105"/>
      <c r="K3" s="47"/>
    </row>
    <row r="4" spans="1:12" x14ac:dyDescent="0.2">
      <c r="A4" s="347"/>
      <c r="B4" s="347"/>
      <c r="C4" s="347"/>
      <c r="D4" s="347"/>
      <c r="E4" s="347"/>
      <c r="F4" s="347"/>
      <c r="G4" s="347"/>
      <c r="H4" s="347"/>
      <c r="J4" s="105"/>
    </row>
    <row r="5" spans="1:12" ht="140.25" x14ac:dyDescent="0.2">
      <c r="A5" s="110" t="s">
        <v>9</v>
      </c>
      <c r="B5" s="348" t="s">
        <v>265</v>
      </c>
      <c r="C5" s="348"/>
      <c r="D5" s="348"/>
      <c r="E5" s="348"/>
      <c r="F5" s="348"/>
      <c r="G5" s="348"/>
      <c r="H5" s="348"/>
      <c r="J5" s="105"/>
    </row>
    <row r="6" spans="1:12" x14ac:dyDescent="0.2">
      <c r="A6" s="59"/>
      <c r="B6" s="59"/>
      <c r="C6" s="59"/>
      <c r="D6" s="59"/>
      <c r="E6" s="59"/>
      <c r="F6" s="59"/>
      <c r="G6" s="59"/>
      <c r="H6" s="59"/>
      <c r="J6" s="105"/>
    </row>
    <row r="7" spans="1:12" x14ac:dyDescent="0.2">
      <c r="A7" s="59"/>
      <c r="B7" s="59"/>
      <c r="C7" s="59"/>
      <c r="D7" s="59"/>
      <c r="E7" s="59"/>
      <c r="F7" s="59"/>
      <c r="G7" s="59"/>
      <c r="H7" s="59"/>
      <c r="J7" s="105"/>
    </row>
    <row r="8" spans="1:12" x14ac:dyDescent="0.2">
      <c r="A8" s="59"/>
      <c r="B8" s="59"/>
      <c r="C8" s="59"/>
      <c r="D8" s="59"/>
      <c r="E8" s="59"/>
      <c r="F8" s="59"/>
      <c r="G8" s="59"/>
      <c r="H8" s="59"/>
      <c r="J8" s="105"/>
    </row>
    <row r="9" spans="1:12" x14ac:dyDescent="0.2">
      <c r="A9" s="59"/>
      <c r="B9" s="59"/>
      <c r="C9" s="59"/>
      <c r="D9" s="59"/>
      <c r="E9" s="59"/>
      <c r="F9" s="59"/>
      <c r="G9" s="59"/>
      <c r="H9" s="59"/>
      <c r="J9" s="105"/>
    </row>
    <row r="10" spans="1:12" x14ac:dyDescent="0.2">
      <c r="A10" s="59"/>
      <c r="B10" s="59"/>
      <c r="C10" s="59"/>
      <c r="D10" s="59"/>
      <c r="E10" s="59"/>
      <c r="F10" s="59"/>
      <c r="G10" s="59"/>
      <c r="H10" s="59"/>
      <c r="J10" s="105"/>
    </row>
    <row r="11" spans="1:12" x14ac:dyDescent="0.2">
      <c r="A11" s="59"/>
      <c r="B11" s="59"/>
      <c r="C11" s="59"/>
      <c r="D11" s="59"/>
      <c r="E11" s="59"/>
      <c r="F11" s="59"/>
      <c r="G11" s="59"/>
      <c r="H11" s="59"/>
      <c r="J11" s="105"/>
    </row>
    <row r="12" spans="1:12" s="106" customFormat="1" x14ac:dyDescent="0.2">
      <c r="A12" s="59"/>
      <c r="B12" s="59"/>
      <c r="C12" s="59"/>
      <c r="D12" s="59"/>
      <c r="E12" s="59"/>
      <c r="F12" s="59"/>
      <c r="G12" s="59"/>
      <c r="H12" s="59"/>
      <c r="K12" s="105"/>
    </row>
    <row r="13" spans="1:12" x14ac:dyDescent="0.2">
      <c r="J13" s="105"/>
    </row>
    <row r="14" spans="1:12" x14ac:dyDescent="0.2">
      <c r="J14" s="105"/>
    </row>
    <row r="15" spans="1:12" x14ac:dyDescent="0.2">
      <c r="J15" s="105"/>
    </row>
    <row r="16" spans="1:12" x14ac:dyDescent="0.2">
      <c r="J16" s="105"/>
    </row>
    <row r="17" spans="10:10" x14ac:dyDescent="0.2">
      <c r="J17" s="105"/>
    </row>
    <row r="18" spans="10:10" x14ac:dyDescent="0.2">
      <c r="J18" s="105"/>
    </row>
  </sheetData>
  <mergeCells count="3">
    <mergeCell ref="B3:G3"/>
    <mergeCell ref="A4:H4"/>
    <mergeCell ref="B5:H5"/>
  </mergeCells>
  <printOptions horizontalCentered="1"/>
  <pageMargins left="0.25" right="0.25" top="0.5" bottom="0.5" header="0.3" footer="0.05"/>
  <pageSetup scale="79" orientation="landscape" horizontalDpi="4294967292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L18"/>
  <sheetViews>
    <sheetView zoomScaleNormal="100" zoomScaleSheetLayoutView="115" workbookViewId="0">
      <selection sqref="A1:H5"/>
    </sheetView>
  </sheetViews>
  <sheetFormatPr defaultColWidth="9.140625" defaultRowHeight="12.75" x14ac:dyDescent="0.2"/>
  <cols>
    <col min="1" max="1" width="5.85546875" style="105" bestFit="1" customWidth="1"/>
    <col min="2" max="2" width="12.5703125" style="105" customWidth="1"/>
    <col min="3" max="3" width="35.28515625" style="105" customWidth="1"/>
    <col min="4" max="4" width="5" style="105" bestFit="1" customWidth="1"/>
    <col min="5" max="5" width="6.28515625" style="105" bestFit="1" customWidth="1"/>
    <col min="6" max="7" width="11.5703125" style="105" bestFit="1" customWidth="1"/>
    <col min="8" max="8" width="16.5703125" style="105" bestFit="1" customWidth="1"/>
    <col min="9" max="9" width="9.140625" style="106"/>
    <col min="10" max="10" width="9.140625" style="59"/>
    <col min="11" max="11" width="13.28515625" style="105" bestFit="1" customWidth="1"/>
    <col min="12" max="16384" width="9.140625" style="105"/>
  </cols>
  <sheetData>
    <row r="1" spans="1:12" ht="25.5" x14ac:dyDescent="0.2">
      <c r="A1" s="48" t="s">
        <v>0</v>
      </c>
      <c r="B1" s="49" t="s">
        <v>5</v>
      </c>
      <c r="C1" s="49" t="s">
        <v>2</v>
      </c>
      <c r="D1" s="49" t="s">
        <v>3</v>
      </c>
      <c r="E1" s="49" t="s">
        <v>13</v>
      </c>
      <c r="F1" s="50" t="s">
        <v>11</v>
      </c>
      <c r="G1" s="50" t="s">
        <v>303</v>
      </c>
      <c r="H1" s="50" t="s">
        <v>12</v>
      </c>
      <c r="I1" s="40" t="s">
        <v>17</v>
      </c>
      <c r="J1" s="59" t="s">
        <v>110</v>
      </c>
      <c r="K1" s="42" t="s">
        <v>10</v>
      </c>
      <c r="L1" s="105" t="s">
        <v>258</v>
      </c>
    </row>
    <row r="2" spans="1:12" s="59" customFormat="1" ht="89.25" x14ac:dyDescent="0.2">
      <c r="A2" s="51">
        <v>1</v>
      </c>
      <c r="B2" s="51" t="s">
        <v>269</v>
      </c>
      <c r="C2" s="63" t="s">
        <v>360</v>
      </c>
      <c r="D2" s="54" t="s">
        <v>109</v>
      </c>
      <c r="E2" s="51">
        <v>10</v>
      </c>
      <c r="F2" s="103">
        <f>I2*88*1.33</f>
        <v>7607.6</v>
      </c>
      <c r="G2" s="55">
        <f t="shared" ref="G2" si="0">F2*18%</f>
        <v>1369.3679999999999</v>
      </c>
      <c r="H2" s="56">
        <f t="shared" ref="H2" si="1">E2*(F2+G2)</f>
        <v>89769.680000000008</v>
      </c>
      <c r="I2" s="109">
        <v>65</v>
      </c>
      <c r="J2" s="59">
        <v>53</v>
      </c>
      <c r="K2" s="94"/>
    </row>
    <row r="3" spans="1:12" x14ac:dyDescent="0.2">
      <c r="A3" s="51">
        <v>2</v>
      </c>
      <c r="B3" s="343" t="s">
        <v>7</v>
      </c>
      <c r="C3" s="343"/>
      <c r="D3" s="343"/>
      <c r="E3" s="343"/>
      <c r="F3" s="343"/>
      <c r="G3" s="343"/>
      <c r="H3" s="107">
        <f>SUM(H2:H2)</f>
        <v>89769.680000000008</v>
      </c>
      <c r="I3" s="46"/>
      <c r="J3" s="105"/>
      <c r="K3" s="47"/>
    </row>
    <row r="4" spans="1:12" x14ac:dyDescent="0.2">
      <c r="A4" s="347"/>
      <c r="B4" s="347"/>
      <c r="C4" s="347"/>
      <c r="D4" s="347"/>
      <c r="E4" s="347"/>
      <c r="F4" s="347"/>
      <c r="G4" s="347"/>
      <c r="H4" s="347"/>
      <c r="J4" s="105"/>
    </row>
    <row r="5" spans="1:12" ht="140.25" x14ac:dyDescent="0.2">
      <c r="A5" s="110" t="s">
        <v>9</v>
      </c>
      <c r="B5" s="348" t="s">
        <v>265</v>
      </c>
      <c r="C5" s="348"/>
      <c r="D5" s="348"/>
      <c r="E5" s="348"/>
      <c r="F5" s="348"/>
      <c r="G5" s="348"/>
      <c r="H5" s="348"/>
      <c r="J5" s="105"/>
    </row>
    <row r="6" spans="1:12" x14ac:dyDescent="0.2">
      <c r="A6" s="59"/>
      <c r="B6" s="59"/>
      <c r="C6" s="59"/>
      <c r="D6" s="59"/>
      <c r="E6" s="59"/>
      <c r="F6" s="59"/>
      <c r="G6" s="59"/>
      <c r="H6" s="59"/>
      <c r="J6" s="105"/>
    </row>
    <row r="7" spans="1:12" x14ac:dyDescent="0.2">
      <c r="A7" s="59"/>
      <c r="B7" s="59"/>
      <c r="C7" s="59"/>
      <c r="D7" s="59"/>
      <c r="E7" s="59"/>
      <c r="F7" s="59"/>
      <c r="G7" s="59"/>
      <c r="H7" s="59"/>
      <c r="J7" s="105"/>
    </row>
    <row r="8" spans="1:12" x14ac:dyDescent="0.2">
      <c r="A8" s="59"/>
      <c r="B8" s="59"/>
      <c r="C8" s="59"/>
      <c r="D8" s="59"/>
      <c r="E8" s="59"/>
      <c r="F8" s="59"/>
      <c r="G8" s="59"/>
      <c r="H8" s="59"/>
      <c r="J8" s="105"/>
    </row>
    <row r="9" spans="1:12" x14ac:dyDescent="0.2">
      <c r="A9" s="59"/>
      <c r="B9" s="59"/>
      <c r="C9" s="59"/>
      <c r="D9" s="59"/>
      <c r="E9" s="59"/>
      <c r="F9" s="59"/>
      <c r="G9" s="59"/>
      <c r="H9" s="59"/>
      <c r="J9" s="105"/>
    </row>
    <row r="10" spans="1:12" x14ac:dyDescent="0.2">
      <c r="A10" s="59"/>
      <c r="B10" s="59"/>
      <c r="C10" s="59"/>
      <c r="D10" s="59"/>
      <c r="E10" s="59"/>
      <c r="F10" s="59"/>
      <c r="G10" s="59"/>
      <c r="H10" s="59"/>
      <c r="J10" s="105"/>
    </row>
    <row r="11" spans="1:12" x14ac:dyDescent="0.2">
      <c r="A11" s="59"/>
      <c r="B11" s="59"/>
      <c r="C11" s="59"/>
      <c r="D11" s="59"/>
      <c r="E11" s="59"/>
      <c r="F11" s="59"/>
      <c r="G11" s="59"/>
      <c r="H11" s="59"/>
      <c r="J11" s="105"/>
    </row>
    <row r="12" spans="1:12" s="106" customFormat="1" x14ac:dyDescent="0.2">
      <c r="A12" s="59"/>
      <c r="B12" s="59"/>
      <c r="C12" s="59"/>
      <c r="D12" s="59"/>
      <c r="E12" s="59"/>
      <c r="F12" s="59"/>
      <c r="G12" s="59"/>
      <c r="H12" s="59"/>
      <c r="K12" s="105"/>
    </row>
    <row r="13" spans="1:12" x14ac:dyDescent="0.2">
      <c r="J13" s="105"/>
    </row>
    <row r="14" spans="1:12" x14ac:dyDescent="0.2">
      <c r="J14" s="105"/>
    </row>
    <row r="15" spans="1:12" x14ac:dyDescent="0.2">
      <c r="J15" s="105"/>
    </row>
    <row r="16" spans="1:12" x14ac:dyDescent="0.2">
      <c r="J16" s="105"/>
    </row>
    <row r="17" spans="10:10" x14ac:dyDescent="0.2">
      <c r="J17" s="105"/>
    </row>
    <row r="18" spans="10:10" x14ac:dyDescent="0.2">
      <c r="J18" s="105"/>
    </row>
  </sheetData>
  <mergeCells count="3">
    <mergeCell ref="B3:G3"/>
    <mergeCell ref="A4:H4"/>
    <mergeCell ref="B5:H5"/>
  </mergeCells>
  <printOptions horizontalCentered="1"/>
  <pageMargins left="0.25" right="0.25" top="0.5" bottom="0.5" header="0.3" footer="0.05"/>
  <pageSetup scale="79" orientation="landscape" horizontalDpi="4294967292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L18"/>
  <sheetViews>
    <sheetView zoomScaleNormal="100" zoomScaleSheetLayoutView="115" workbookViewId="0">
      <selection activeCell="C2" sqref="C2"/>
    </sheetView>
  </sheetViews>
  <sheetFormatPr defaultColWidth="9.140625" defaultRowHeight="12.75" x14ac:dyDescent="0.2"/>
  <cols>
    <col min="1" max="1" width="5.85546875" style="105" bestFit="1" customWidth="1"/>
    <col min="2" max="2" width="12.5703125" style="105" customWidth="1"/>
    <col min="3" max="3" width="35.28515625" style="105" customWidth="1"/>
    <col min="4" max="4" width="5" style="105" bestFit="1" customWidth="1"/>
    <col min="5" max="5" width="6.28515625" style="105" bestFit="1" customWidth="1"/>
    <col min="6" max="7" width="11.5703125" style="105" bestFit="1" customWidth="1"/>
    <col min="8" max="8" width="16.5703125" style="105" bestFit="1" customWidth="1"/>
    <col min="9" max="9" width="9.140625" style="106"/>
    <col min="10" max="10" width="9.140625" style="59"/>
    <col min="11" max="11" width="13.28515625" style="105" bestFit="1" customWidth="1"/>
    <col min="12" max="16384" width="9.140625" style="105"/>
  </cols>
  <sheetData>
    <row r="1" spans="1:12" ht="25.5" x14ac:dyDescent="0.2">
      <c r="A1" s="48" t="s">
        <v>0</v>
      </c>
      <c r="B1" s="49" t="s">
        <v>5</v>
      </c>
      <c r="C1" s="49" t="s">
        <v>2</v>
      </c>
      <c r="D1" s="49" t="s">
        <v>3</v>
      </c>
      <c r="E1" s="49" t="s">
        <v>13</v>
      </c>
      <c r="F1" s="50" t="s">
        <v>11</v>
      </c>
      <c r="G1" s="50" t="s">
        <v>303</v>
      </c>
      <c r="H1" s="50" t="s">
        <v>12</v>
      </c>
      <c r="I1" s="40" t="s">
        <v>17</v>
      </c>
      <c r="J1" s="59" t="s">
        <v>110</v>
      </c>
      <c r="K1" s="42" t="s">
        <v>10</v>
      </c>
      <c r="L1" s="105" t="s">
        <v>258</v>
      </c>
    </row>
    <row r="2" spans="1:12" s="59" customFormat="1" ht="63.75" x14ac:dyDescent="0.2">
      <c r="A2" s="51">
        <v>1</v>
      </c>
      <c r="B2" s="51">
        <v>5307000009</v>
      </c>
      <c r="C2" s="63" t="s">
        <v>361</v>
      </c>
      <c r="D2" s="54" t="s">
        <v>109</v>
      </c>
      <c r="E2" s="51">
        <v>2</v>
      </c>
      <c r="F2" s="103">
        <f>I2*88*1.33</f>
        <v>456456</v>
      </c>
      <c r="G2" s="55">
        <f t="shared" ref="G2" si="0">F2*18%</f>
        <v>82162.080000000002</v>
      </c>
      <c r="H2" s="56">
        <f t="shared" ref="H2" si="1">E2*(F2+G2)</f>
        <v>1077236.1599999999</v>
      </c>
      <c r="I2" s="109">
        <v>3900</v>
      </c>
      <c r="J2" s="59">
        <v>3570</v>
      </c>
      <c r="K2" s="94"/>
    </row>
    <row r="3" spans="1:12" x14ac:dyDescent="0.2">
      <c r="A3" s="51">
        <v>2</v>
      </c>
      <c r="B3" s="343" t="s">
        <v>7</v>
      </c>
      <c r="C3" s="343"/>
      <c r="D3" s="343"/>
      <c r="E3" s="343"/>
      <c r="F3" s="343"/>
      <c r="G3" s="343"/>
      <c r="H3" s="107">
        <f>SUM(H2:H2)</f>
        <v>1077236.1599999999</v>
      </c>
      <c r="I3" s="46"/>
      <c r="J3" s="105"/>
      <c r="K3" s="47"/>
    </row>
    <row r="4" spans="1:12" x14ac:dyDescent="0.2">
      <c r="A4" s="347"/>
      <c r="B4" s="347"/>
      <c r="C4" s="347"/>
      <c r="D4" s="347"/>
      <c r="E4" s="347"/>
      <c r="F4" s="347"/>
      <c r="G4" s="347"/>
      <c r="H4" s="347"/>
      <c r="J4" s="105"/>
    </row>
    <row r="5" spans="1:12" ht="140.25" x14ac:dyDescent="0.2">
      <c r="A5" s="110" t="s">
        <v>9</v>
      </c>
      <c r="B5" s="348" t="s">
        <v>350</v>
      </c>
      <c r="C5" s="348"/>
      <c r="D5" s="348"/>
      <c r="E5" s="348"/>
      <c r="F5" s="348"/>
      <c r="G5" s="348"/>
      <c r="H5" s="348"/>
      <c r="J5" s="105"/>
    </row>
    <row r="6" spans="1:12" x14ac:dyDescent="0.2">
      <c r="A6" s="59"/>
      <c r="B6" s="59"/>
      <c r="C6" s="59"/>
      <c r="D6" s="59"/>
      <c r="E6" s="59"/>
      <c r="F6" s="59"/>
      <c r="G6" s="59"/>
      <c r="H6" s="59"/>
      <c r="J6" s="105"/>
    </row>
    <row r="7" spans="1:12" x14ac:dyDescent="0.2">
      <c r="A7" s="59"/>
      <c r="B7" s="59"/>
      <c r="C7" s="59"/>
      <c r="D7" s="59"/>
      <c r="E7" s="59"/>
      <c r="F7" s="59"/>
      <c r="G7" s="59"/>
      <c r="H7" s="59"/>
      <c r="J7" s="105"/>
    </row>
    <row r="8" spans="1:12" x14ac:dyDescent="0.2">
      <c r="A8" s="59"/>
      <c r="B8" s="59"/>
      <c r="C8" s="59"/>
      <c r="D8" s="59"/>
      <c r="E8" s="59"/>
      <c r="F8" s="59"/>
      <c r="G8" s="59"/>
      <c r="H8" s="59"/>
      <c r="J8" s="105"/>
    </row>
    <row r="9" spans="1:12" x14ac:dyDescent="0.2">
      <c r="A9" s="59"/>
      <c r="B9" s="59"/>
      <c r="C9" s="59"/>
      <c r="D9" s="59"/>
      <c r="E9" s="59"/>
      <c r="F9" s="59"/>
      <c r="G9" s="59"/>
      <c r="H9" s="59"/>
      <c r="J9" s="105"/>
    </row>
    <row r="10" spans="1:12" x14ac:dyDescent="0.2">
      <c r="A10" s="59"/>
      <c r="B10" s="59"/>
      <c r="C10" s="59"/>
      <c r="D10" s="59"/>
      <c r="E10" s="59"/>
      <c r="F10" s="59"/>
      <c r="G10" s="59"/>
      <c r="H10" s="59"/>
      <c r="J10" s="105"/>
    </row>
    <row r="11" spans="1:12" x14ac:dyDescent="0.2">
      <c r="A11" s="59"/>
      <c r="B11" s="59"/>
      <c r="C11" s="59"/>
      <c r="D11" s="59"/>
      <c r="E11" s="59"/>
      <c r="F11" s="59"/>
      <c r="G11" s="59"/>
      <c r="H11" s="59"/>
      <c r="J11" s="105"/>
    </row>
    <row r="12" spans="1:12" s="106" customFormat="1" x14ac:dyDescent="0.2">
      <c r="A12" s="59"/>
      <c r="B12" s="59"/>
      <c r="C12" s="59"/>
      <c r="D12" s="59"/>
      <c r="E12" s="59"/>
      <c r="F12" s="59"/>
      <c r="G12" s="59"/>
      <c r="H12" s="59"/>
      <c r="K12" s="105"/>
    </row>
    <row r="13" spans="1:12" x14ac:dyDescent="0.2">
      <c r="J13" s="105"/>
    </row>
    <row r="14" spans="1:12" x14ac:dyDescent="0.2">
      <c r="J14" s="105"/>
    </row>
    <row r="15" spans="1:12" x14ac:dyDescent="0.2">
      <c r="J15" s="105"/>
    </row>
    <row r="16" spans="1:12" x14ac:dyDescent="0.2">
      <c r="J16" s="105"/>
    </row>
    <row r="17" spans="10:10" x14ac:dyDescent="0.2">
      <c r="J17" s="105"/>
    </row>
    <row r="18" spans="10:10" x14ac:dyDescent="0.2">
      <c r="J18" s="105"/>
    </row>
  </sheetData>
  <mergeCells count="3">
    <mergeCell ref="B3:G3"/>
    <mergeCell ref="A4:H4"/>
    <mergeCell ref="B5:H5"/>
  </mergeCells>
  <printOptions horizontalCentered="1"/>
  <pageMargins left="0.25" right="0.25" top="0.5" bottom="0.5" header="0.3" footer="0.05"/>
  <pageSetup scale="79" orientation="landscape" horizontalDpi="4294967292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K23"/>
  <sheetViews>
    <sheetView zoomScaleNormal="100" zoomScaleSheetLayoutView="115" workbookViewId="0">
      <selection activeCell="C6" sqref="C6"/>
    </sheetView>
  </sheetViews>
  <sheetFormatPr defaultColWidth="9.140625" defaultRowHeight="12.75" x14ac:dyDescent="0.2"/>
  <cols>
    <col min="1" max="1" width="5.85546875" style="105" bestFit="1" customWidth="1"/>
    <col min="2" max="2" width="12.5703125" style="105" customWidth="1"/>
    <col min="3" max="3" width="32" style="105" customWidth="1"/>
    <col min="4" max="4" width="5" style="105" bestFit="1" customWidth="1"/>
    <col min="5" max="5" width="6.28515625" style="105" bestFit="1" customWidth="1"/>
    <col min="6" max="7" width="11.5703125" style="105" bestFit="1" customWidth="1"/>
    <col min="8" max="8" width="16.5703125" style="105" bestFit="1" customWidth="1"/>
    <col min="9" max="9" width="9.140625" style="106"/>
    <col min="10" max="10" width="9.140625" style="59"/>
    <col min="11" max="11" width="13.28515625" style="105" bestFit="1" customWidth="1"/>
    <col min="12" max="12" width="9.140625" style="105"/>
    <col min="13" max="13" width="10.85546875" style="105" bestFit="1" customWidth="1"/>
    <col min="14" max="16384" width="9.140625" style="105"/>
  </cols>
  <sheetData>
    <row r="1" spans="1:11" ht="25.5" x14ac:dyDescent="0.2">
      <c r="A1" s="48" t="s">
        <v>0</v>
      </c>
      <c r="B1" s="49" t="s">
        <v>5</v>
      </c>
      <c r="C1" s="49" t="s">
        <v>2</v>
      </c>
      <c r="D1" s="49" t="s">
        <v>3</v>
      </c>
      <c r="E1" s="49" t="s">
        <v>13</v>
      </c>
      <c r="F1" s="50" t="s">
        <v>11</v>
      </c>
      <c r="G1" s="50" t="s">
        <v>303</v>
      </c>
      <c r="H1" s="50" t="s">
        <v>12</v>
      </c>
      <c r="I1" s="40" t="s">
        <v>17</v>
      </c>
      <c r="K1" s="42" t="s">
        <v>10</v>
      </c>
    </row>
    <row r="2" spans="1:11" s="59" customFormat="1" x14ac:dyDescent="0.2">
      <c r="A2" s="51">
        <v>1</v>
      </c>
      <c r="B2" s="51">
        <v>4000009068</v>
      </c>
      <c r="C2" s="108" t="s">
        <v>366</v>
      </c>
      <c r="D2" s="51" t="s">
        <v>109</v>
      </c>
      <c r="E2" s="51">
        <v>1</v>
      </c>
      <c r="F2" s="55">
        <f>I2*88*1.35</f>
        <v>100980</v>
      </c>
      <c r="G2" s="55">
        <f t="shared" ref="G2:G7" si="0">F2*18%</f>
        <v>18176.399999999998</v>
      </c>
      <c r="H2" s="56">
        <f t="shared" ref="H2" si="1">E2*(F2+G2)</f>
        <v>119156.4</v>
      </c>
      <c r="I2" s="89">
        <f>K2+50</f>
        <v>850</v>
      </c>
      <c r="K2" s="94">
        <v>800</v>
      </c>
    </row>
    <row r="3" spans="1:11" s="59" customFormat="1" x14ac:dyDescent="0.2">
      <c r="A3" s="51">
        <v>2</v>
      </c>
      <c r="B3" s="51">
        <v>4000009054</v>
      </c>
      <c r="C3" s="108" t="s">
        <v>365</v>
      </c>
      <c r="D3" s="51" t="s">
        <v>109</v>
      </c>
      <c r="E3" s="51">
        <v>1</v>
      </c>
      <c r="F3" s="55">
        <f t="shared" ref="F3:F7" si="2">I3*88*1.35</f>
        <v>100980</v>
      </c>
      <c r="G3" s="55">
        <f>F3*18%</f>
        <v>18176.399999999998</v>
      </c>
      <c r="H3" s="56">
        <f>E3*(F3+G3)</f>
        <v>119156.4</v>
      </c>
      <c r="I3" s="89">
        <f>K3+50</f>
        <v>850</v>
      </c>
      <c r="K3" s="94">
        <v>800</v>
      </c>
    </row>
    <row r="4" spans="1:11" s="59" customFormat="1" x14ac:dyDescent="0.2">
      <c r="A4" s="51">
        <v>3</v>
      </c>
      <c r="B4" s="51">
        <v>4000009066</v>
      </c>
      <c r="C4" s="108" t="s">
        <v>364</v>
      </c>
      <c r="D4" s="51" t="s">
        <v>109</v>
      </c>
      <c r="E4" s="51">
        <v>1</v>
      </c>
      <c r="F4" s="55">
        <f t="shared" si="2"/>
        <v>17820</v>
      </c>
      <c r="G4" s="55">
        <f t="shared" si="0"/>
        <v>3207.6</v>
      </c>
      <c r="H4" s="56">
        <f t="shared" ref="H4:H7" si="3">E4*(F4+G4)</f>
        <v>21027.599999999999</v>
      </c>
      <c r="I4" s="89">
        <v>150</v>
      </c>
      <c r="K4" s="94">
        <v>120</v>
      </c>
    </row>
    <row r="5" spans="1:11" s="59" customFormat="1" x14ac:dyDescent="0.2">
      <c r="A5" s="51">
        <v>4</v>
      </c>
      <c r="B5" s="51">
        <v>4000009067</v>
      </c>
      <c r="C5" s="108" t="s">
        <v>363</v>
      </c>
      <c r="D5" s="51" t="s">
        <v>109</v>
      </c>
      <c r="E5" s="51">
        <v>1</v>
      </c>
      <c r="F5" s="55">
        <f t="shared" si="2"/>
        <v>45144</v>
      </c>
      <c r="G5" s="55">
        <f t="shared" si="0"/>
        <v>8125.92</v>
      </c>
      <c r="H5" s="56">
        <f t="shared" si="3"/>
        <v>53269.919999999998</v>
      </c>
      <c r="I5" s="89">
        <f>K5+50</f>
        <v>380</v>
      </c>
      <c r="K5" s="94">
        <v>330</v>
      </c>
    </row>
    <row r="6" spans="1:11" s="59" customFormat="1" x14ac:dyDescent="0.2">
      <c r="A6" s="51">
        <v>5</v>
      </c>
      <c r="B6" s="51">
        <v>4000011938</v>
      </c>
      <c r="C6" s="108" t="s">
        <v>362</v>
      </c>
      <c r="D6" s="51" t="s">
        <v>109</v>
      </c>
      <c r="E6" s="51">
        <v>3</v>
      </c>
      <c r="F6" s="55">
        <f t="shared" si="2"/>
        <v>17820</v>
      </c>
      <c r="G6" s="55">
        <f t="shared" si="0"/>
        <v>3207.6</v>
      </c>
      <c r="H6" s="56">
        <f t="shared" si="3"/>
        <v>63082.799999999996</v>
      </c>
      <c r="I6" s="89">
        <v>150</v>
      </c>
      <c r="K6" s="94">
        <v>135</v>
      </c>
    </row>
    <row r="7" spans="1:11" s="59" customFormat="1" ht="76.5" x14ac:dyDescent="0.2">
      <c r="A7" s="51">
        <v>6</v>
      </c>
      <c r="B7" s="51">
        <v>4000009045</v>
      </c>
      <c r="C7" s="53" t="s">
        <v>367</v>
      </c>
      <c r="D7" s="51" t="s">
        <v>109</v>
      </c>
      <c r="E7" s="51">
        <v>1</v>
      </c>
      <c r="F7" s="55">
        <f t="shared" si="2"/>
        <v>11880</v>
      </c>
      <c r="G7" s="55">
        <f t="shared" si="0"/>
        <v>2138.4</v>
      </c>
      <c r="H7" s="56">
        <f t="shared" si="3"/>
        <v>14018.4</v>
      </c>
      <c r="I7" s="89">
        <v>100</v>
      </c>
      <c r="K7" s="94">
        <v>90</v>
      </c>
    </row>
    <row r="8" spans="1:11" x14ac:dyDescent="0.2">
      <c r="A8" s="51">
        <v>7</v>
      </c>
      <c r="B8" s="343" t="s">
        <v>7</v>
      </c>
      <c r="C8" s="343"/>
      <c r="D8" s="343"/>
      <c r="E8" s="343"/>
      <c r="F8" s="343"/>
      <c r="G8" s="343"/>
      <c r="H8" s="107">
        <f>SUM(H2:H7)</f>
        <v>389711.52</v>
      </c>
      <c r="I8" s="46"/>
      <c r="J8" s="105"/>
      <c r="K8" s="47"/>
    </row>
    <row r="9" spans="1:11" x14ac:dyDescent="0.2">
      <c r="A9" s="344"/>
      <c r="B9" s="345"/>
      <c r="C9" s="345"/>
      <c r="D9" s="345"/>
      <c r="E9" s="345"/>
      <c r="F9" s="345"/>
      <c r="G9" s="345"/>
      <c r="H9" s="346"/>
      <c r="J9" s="105"/>
    </row>
    <row r="10" spans="1:11" ht="140.25" x14ac:dyDescent="0.2">
      <c r="A10" s="58" t="s">
        <v>9</v>
      </c>
      <c r="B10" s="335" t="s">
        <v>327</v>
      </c>
      <c r="C10" s="335"/>
      <c r="D10" s="335"/>
      <c r="E10" s="335"/>
      <c r="F10" s="335"/>
      <c r="G10" s="335"/>
      <c r="H10" s="336"/>
      <c r="J10" s="105"/>
    </row>
    <row r="11" spans="1:11" x14ac:dyDescent="0.2">
      <c r="A11" s="59"/>
      <c r="B11" s="59"/>
      <c r="C11" s="59"/>
      <c r="D11" s="59"/>
      <c r="E11" s="59"/>
      <c r="F11" s="59"/>
      <c r="G11" s="59"/>
      <c r="H11" s="59"/>
      <c r="J11" s="105"/>
    </row>
    <row r="12" spans="1:11" x14ac:dyDescent="0.2">
      <c r="A12" s="59"/>
      <c r="B12" s="59"/>
      <c r="C12" s="59"/>
      <c r="D12" s="59"/>
      <c r="E12" s="59"/>
      <c r="F12" s="59"/>
      <c r="G12" s="59"/>
      <c r="H12" s="59"/>
      <c r="J12" s="105"/>
    </row>
    <row r="13" spans="1:11" x14ac:dyDescent="0.2">
      <c r="A13" s="59"/>
      <c r="B13" s="59"/>
      <c r="C13" s="59"/>
      <c r="D13" s="59"/>
      <c r="E13" s="59"/>
      <c r="F13" s="59"/>
      <c r="G13" s="59"/>
      <c r="H13" s="59"/>
      <c r="J13" s="105"/>
    </row>
    <row r="14" spans="1:11" x14ac:dyDescent="0.2">
      <c r="A14" s="59"/>
      <c r="B14" s="59"/>
      <c r="C14" s="59"/>
      <c r="D14" s="59"/>
      <c r="E14" s="59"/>
      <c r="F14" s="59"/>
      <c r="G14" s="59"/>
      <c r="H14" s="59"/>
      <c r="J14" s="105"/>
    </row>
    <row r="15" spans="1:11" x14ac:dyDescent="0.2">
      <c r="A15" s="59"/>
      <c r="B15" s="59"/>
      <c r="C15" s="59"/>
      <c r="D15" s="59"/>
      <c r="E15" s="59"/>
      <c r="F15" s="59"/>
      <c r="G15" s="59"/>
      <c r="H15" s="59"/>
      <c r="J15" s="105"/>
    </row>
    <row r="16" spans="1:11" x14ac:dyDescent="0.2">
      <c r="A16" s="59"/>
      <c r="B16" s="59"/>
      <c r="C16" s="59"/>
      <c r="D16" s="59"/>
      <c r="E16" s="59"/>
      <c r="F16" s="59"/>
      <c r="G16" s="59"/>
      <c r="H16" s="59"/>
      <c r="J16" s="105"/>
    </row>
    <row r="17" spans="1:11" s="106" customFormat="1" x14ac:dyDescent="0.2">
      <c r="A17" s="59"/>
      <c r="B17" s="59"/>
      <c r="C17" s="59"/>
      <c r="D17" s="59"/>
      <c r="E17" s="59"/>
      <c r="F17" s="59"/>
      <c r="G17" s="59"/>
      <c r="H17" s="59"/>
      <c r="K17" s="105"/>
    </row>
    <row r="18" spans="1:11" x14ac:dyDescent="0.2">
      <c r="J18" s="105"/>
    </row>
    <row r="19" spans="1:11" x14ac:dyDescent="0.2">
      <c r="J19" s="105"/>
    </row>
    <row r="20" spans="1:11" x14ac:dyDescent="0.2">
      <c r="J20" s="105"/>
    </row>
    <row r="21" spans="1:11" x14ac:dyDescent="0.2">
      <c r="J21" s="105"/>
    </row>
    <row r="22" spans="1:11" x14ac:dyDescent="0.2">
      <c r="J22" s="105"/>
    </row>
    <row r="23" spans="1:11" x14ac:dyDescent="0.2">
      <c r="J23" s="105"/>
    </row>
  </sheetData>
  <mergeCells count="3">
    <mergeCell ref="B8:G8"/>
    <mergeCell ref="A9:H9"/>
    <mergeCell ref="B10:H10"/>
  </mergeCells>
  <printOptions horizontalCentered="1"/>
  <pageMargins left="0.25" right="0.25" top="0.5" bottom="0.5" header="0.3" footer="0.05"/>
  <pageSetup scale="79" orientation="landscape" horizontalDpi="4294967292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K15"/>
  <sheetViews>
    <sheetView view="pageBreakPreview" zoomScaleSheetLayoutView="100" workbookViewId="0">
      <selection activeCell="C2" sqref="C2"/>
    </sheetView>
  </sheetViews>
  <sheetFormatPr defaultColWidth="9.140625" defaultRowHeight="11.25" x14ac:dyDescent="0.15"/>
  <cols>
    <col min="1" max="1" width="5.85546875" style="4" bestFit="1" customWidth="1"/>
    <col min="2" max="2" width="12.5703125" style="4" customWidth="1"/>
    <col min="3" max="3" width="50.42578125" style="4" customWidth="1"/>
    <col min="4" max="4" width="5" style="4" bestFit="1" customWidth="1"/>
    <col min="5" max="5" width="6.28515625" style="4" bestFit="1" customWidth="1"/>
    <col min="6" max="6" width="11.5703125" style="4" bestFit="1" customWidth="1"/>
    <col min="7" max="7" width="16.5703125" style="4" bestFit="1" customWidth="1"/>
    <col min="8" max="8" width="9.140625" style="1"/>
    <col min="9" max="9" width="10.5703125" style="12" bestFit="1" customWidth="1"/>
    <col min="10" max="10" width="13.28515625" style="4" bestFit="1" customWidth="1"/>
    <col min="11" max="16384" width="9.140625" style="4"/>
  </cols>
  <sheetData>
    <row r="1" spans="1:11" ht="25.5" x14ac:dyDescent="0.15">
      <c r="A1" s="48" t="s">
        <v>0</v>
      </c>
      <c r="B1" s="49" t="s">
        <v>5</v>
      </c>
      <c r="C1" s="49" t="s">
        <v>2</v>
      </c>
      <c r="D1" s="49" t="s">
        <v>3</v>
      </c>
      <c r="E1" s="49" t="s">
        <v>13</v>
      </c>
      <c r="F1" s="50" t="s">
        <v>11</v>
      </c>
      <c r="G1" s="50" t="s">
        <v>12</v>
      </c>
      <c r="H1" s="40" t="s">
        <v>17</v>
      </c>
      <c r="I1" s="41" t="s">
        <v>14</v>
      </c>
      <c r="J1" s="42" t="s">
        <v>10</v>
      </c>
      <c r="K1" s="4" t="s">
        <v>107</v>
      </c>
    </row>
    <row r="2" spans="1:11" ht="12.75" x14ac:dyDescent="0.15">
      <c r="A2" s="51">
        <v>1</v>
      </c>
      <c r="B2" s="51">
        <v>604000101</v>
      </c>
      <c r="C2" s="53" t="s">
        <v>228</v>
      </c>
      <c r="D2" s="54" t="s">
        <v>109</v>
      </c>
      <c r="E2" s="51">
        <v>18</v>
      </c>
      <c r="F2" s="55">
        <f>85*1.33*H2</f>
        <v>9609.2500000000018</v>
      </c>
      <c r="G2" s="56">
        <f t="shared" ref="G2:G3" si="0">F2*E2</f>
        <v>172966.50000000003</v>
      </c>
      <c r="H2" s="43">
        <v>85</v>
      </c>
      <c r="I2" s="44">
        <f>480/6</f>
        <v>80</v>
      </c>
      <c r="J2" s="45"/>
    </row>
    <row r="3" spans="1:11" ht="25.5" x14ac:dyDescent="0.15">
      <c r="A3" s="51">
        <v>2</v>
      </c>
      <c r="B3" s="51">
        <v>3003000093</v>
      </c>
      <c r="C3" s="53" t="s">
        <v>229</v>
      </c>
      <c r="D3" s="54" t="s">
        <v>109</v>
      </c>
      <c r="E3" s="51">
        <v>9</v>
      </c>
      <c r="F3" s="55">
        <f>85*1.33*H3</f>
        <v>11305.000000000002</v>
      </c>
      <c r="G3" s="56">
        <f t="shared" si="0"/>
        <v>101745.00000000001</v>
      </c>
      <c r="H3" s="43">
        <v>100</v>
      </c>
      <c r="I3" s="44">
        <f>580/6</f>
        <v>96.666666666666671</v>
      </c>
      <c r="J3" s="45"/>
    </row>
    <row r="4" spans="1:11" ht="12.75" x14ac:dyDescent="0.15">
      <c r="A4" s="51">
        <v>3</v>
      </c>
      <c r="B4" s="337" t="s">
        <v>7</v>
      </c>
      <c r="C4" s="337"/>
      <c r="D4" s="337"/>
      <c r="E4" s="337"/>
      <c r="F4" s="337"/>
      <c r="G4" s="57">
        <f>SUM(G2:G3)</f>
        <v>274711.50000000006</v>
      </c>
      <c r="H4" s="46"/>
      <c r="I4" s="46"/>
      <c r="J4" s="47"/>
    </row>
    <row r="5" spans="1:11" ht="12.75" x14ac:dyDescent="0.15">
      <c r="A5" s="51">
        <v>4</v>
      </c>
      <c r="B5" s="337" t="s">
        <v>51</v>
      </c>
      <c r="C5" s="337"/>
      <c r="D5" s="337"/>
      <c r="E5" s="337"/>
      <c r="F5" s="337"/>
      <c r="G5" s="57">
        <f>G4*18%</f>
        <v>49448.070000000007</v>
      </c>
    </row>
    <row r="6" spans="1:11" ht="12.75" x14ac:dyDescent="0.15">
      <c r="A6" s="51">
        <v>5</v>
      </c>
      <c r="B6" s="337" t="s">
        <v>8</v>
      </c>
      <c r="C6" s="337"/>
      <c r="D6" s="337"/>
      <c r="E6" s="337"/>
      <c r="F6" s="337"/>
      <c r="G6" s="57">
        <f>G5+G4</f>
        <v>324159.57000000007</v>
      </c>
    </row>
    <row r="7" spans="1:11" ht="12.75" x14ac:dyDescent="0.15">
      <c r="A7" s="344"/>
      <c r="B7" s="345"/>
      <c r="C7" s="345"/>
      <c r="D7" s="345"/>
      <c r="E7" s="345"/>
      <c r="F7" s="345"/>
      <c r="G7" s="346"/>
    </row>
    <row r="8" spans="1:11" ht="140.25" x14ac:dyDescent="0.15">
      <c r="A8" s="58" t="s">
        <v>9</v>
      </c>
      <c r="B8" s="335" t="s">
        <v>108</v>
      </c>
      <c r="C8" s="335"/>
      <c r="D8" s="335"/>
      <c r="E8" s="335"/>
      <c r="F8" s="335"/>
      <c r="G8" s="336"/>
    </row>
    <row r="9" spans="1:11" ht="12.75" x14ac:dyDescent="0.2">
      <c r="A9" s="59"/>
      <c r="B9" s="59"/>
      <c r="C9" s="59"/>
      <c r="D9" s="59"/>
      <c r="E9" s="59"/>
      <c r="F9" s="59"/>
      <c r="G9" s="59"/>
    </row>
    <row r="10" spans="1:11" ht="12.75" x14ac:dyDescent="0.2">
      <c r="A10" s="59"/>
      <c r="B10" s="59"/>
      <c r="C10" s="59"/>
      <c r="D10" s="59"/>
      <c r="E10" s="59"/>
      <c r="F10" s="59"/>
      <c r="G10" s="59"/>
    </row>
    <row r="11" spans="1:11" ht="12.75" x14ac:dyDescent="0.2">
      <c r="A11" s="59"/>
      <c r="B11" s="59"/>
      <c r="C11" s="59"/>
      <c r="D11" s="59"/>
      <c r="E11" s="59"/>
      <c r="F11" s="59"/>
      <c r="G11" s="59"/>
    </row>
    <row r="12" spans="1:11" ht="12.75" x14ac:dyDescent="0.2">
      <c r="A12" s="59"/>
      <c r="B12" s="59"/>
      <c r="C12" s="59"/>
      <c r="D12" s="59"/>
      <c r="E12" s="59"/>
      <c r="F12" s="59"/>
      <c r="G12" s="59"/>
    </row>
    <row r="13" spans="1:11" ht="12.75" x14ac:dyDescent="0.2">
      <c r="A13" s="59"/>
      <c r="B13" s="59"/>
      <c r="C13" s="59"/>
      <c r="D13" s="59"/>
      <c r="E13" s="59"/>
      <c r="F13" s="59"/>
      <c r="G13" s="59"/>
    </row>
    <row r="14" spans="1:11" ht="12.75" x14ac:dyDescent="0.2">
      <c r="A14" s="59"/>
      <c r="B14" s="59"/>
      <c r="C14" s="59"/>
      <c r="D14" s="59"/>
      <c r="E14" s="59"/>
      <c r="F14" s="59"/>
      <c r="G14" s="59"/>
    </row>
    <row r="15" spans="1:11" s="1" customFormat="1" ht="12.75" x14ac:dyDescent="0.2">
      <c r="A15" s="59"/>
      <c r="B15" s="59"/>
      <c r="C15" s="59"/>
      <c r="D15" s="59"/>
      <c r="E15" s="59"/>
      <c r="F15" s="59"/>
      <c r="G15" s="59"/>
      <c r="I15" s="12"/>
      <c r="J15" s="4"/>
      <c r="K15" s="4"/>
    </row>
  </sheetData>
  <mergeCells count="5">
    <mergeCell ref="B4:F4"/>
    <mergeCell ref="B5:F5"/>
    <mergeCell ref="B6:F6"/>
    <mergeCell ref="A7:G7"/>
    <mergeCell ref="B8:G8"/>
  </mergeCells>
  <printOptions horizontalCentered="1"/>
  <pageMargins left="0.25" right="0.25" top="0.5" bottom="0.5" header="0.3" footer="0.05"/>
  <pageSetup orientation="landscape" horizontalDpi="4294967292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K25"/>
  <sheetViews>
    <sheetView topLeftCell="A4" zoomScaleNormal="100" zoomScaleSheetLayoutView="115" workbookViewId="0">
      <selection activeCell="B6" sqref="B6"/>
    </sheetView>
  </sheetViews>
  <sheetFormatPr defaultColWidth="9.140625" defaultRowHeight="12.75" x14ac:dyDescent="0.2"/>
  <cols>
    <col min="1" max="1" width="5.85546875" style="105" bestFit="1" customWidth="1"/>
    <col min="2" max="2" width="12.5703125" style="105" customWidth="1"/>
    <col min="3" max="3" width="32" style="105" customWidth="1"/>
    <col min="4" max="4" width="5" style="105" bestFit="1" customWidth="1"/>
    <col min="5" max="5" width="6.28515625" style="105" bestFit="1" customWidth="1"/>
    <col min="6" max="7" width="11.5703125" style="105" bestFit="1" customWidth="1"/>
    <col min="8" max="8" width="16.5703125" style="105" bestFit="1" customWidth="1"/>
    <col min="9" max="9" width="9.140625" style="106"/>
    <col min="10" max="10" width="9.140625" style="59"/>
    <col min="11" max="11" width="13.28515625" style="105" bestFit="1" customWidth="1"/>
    <col min="12" max="12" width="9.140625" style="105"/>
    <col min="13" max="13" width="10.85546875" style="105" bestFit="1" customWidth="1"/>
    <col min="14" max="16384" width="9.140625" style="105"/>
  </cols>
  <sheetData>
    <row r="1" spans="1:11" ht="25.5" x14ac:dyDescent="0.2">
      <c r="A1" s="48" t="s">
        <v>0</v>
      </c>
      <c r="B1" s="49" t="s">
        <v>5</v>
      </c>
      <c r="C1" s="49" t="s">
        <v>2</v>
      </c>
      <c r="D1" s="49" t="s">
        <v>3</v>
      </c>
      <c r="E1" s="49" t="s">
        <v>13</v>
      </c>
      <c r="F1" s="50" t="s">
        <v>11</v>
      </c>
      <c r="G1" s="50" t="s">
        <v>303</v>
      </c>
      <c r="H1" s="50" t="s">
        <v>12</v>
      </c>
      <c r="I1" s="40" t="s">
        <v>17</v>
      </c>
      <c r="K1" s="42" t="s">
        <v>347</v>
      </c>
    </row>
    <row r="2" spans="1:11" s="59" customFormat="1" ht="30" x14ac:dyDescent="0.2">
      <c r="A2" s="51">
        <v>1</v>
      </c>
      <c r="B2" s="51" t="s">
        <v>269</v>
      </c>
      <c r="C2" s="111" t="s">
        <v>368</v>
      </c>
      <c r="D2" s="51" t="s">
        <v>105</v>
      </c>
      <c r="E2" s="51">
        <v>1</v>
      </c>
      <c r="F2" s="55">
        <f t="shared" ref="F2:F5" si="0">I2*88*1.35</f>
        <v>1230768</v>
      </c>
      <c r="G2" s="55">
        <f t="shared" ref="G2:G5" si="1">F2*18%</f>
        <v>221538.24</v>
      </c>
      <c r="H2" s="56">
        <f t="shared" ref="H2:H5" si="2">E2*(F2+G2)</f>
        <v>1452306.24</v>
      </c>
      <c r="I2" s="89">
        <f>K2</f>
        <v>10360</v>
      </c>
      <c r="K2" s="94">
        <v>10360</v>
      </c>
    </row>
    <row r="3" spans="1:11" s="59" customFormat="1" ht="45" x14ac:dyDescent="0.2">
      <c r="A3" s="51">
        <v>2</v>
      </c>
      <c r="B3" s="51" t="s">
        <v>269</v>
      </c>
      <c r="C3" s="111" t="s">
        <v>369</v>
      </c>
      <c r="D3" s="51" t="s">
        <v>105</v>
      </c>
      <c r="E3" s="51">
        <v>1</v>
      </c>
      <c r="F3" s="55">
        <f t="shared" si="0"/>
        <v>1173744</v>
      </c>
      <c r="G3" s="55">
        <f t="shared" si="1"/>
        <v>211273.91999999998</v>
      </c>
      <c r="H3" s="56">
        <f t="shared" si="2"/>
        <v>1385017.92</v>
      </c>
      <c r="I3" s="89">
        <f t="shared" ref="I3:I9" si="3">K3</f>
        <v>9880</v>
      </c>
      <c r="K3" s="94">
        <v>9880</v>
      </c>
    </row>
    <row r="4" spans="1:11" s="59" customFormat="1" ht="30" x14ac:dyDescent="0.2">
      <c r="A4" s="51">
        <v>3</v>
      </c>
      <c r="B4" s="51" t="s">
        <v>269</v>
      </c>
      <c r="C4" s="111" t="s">
        <v>370</v>
      </c>
      <c r="D4" s="51" t="s">
        <v>105</v>
      </c>
      <c r="E4" s="51">
        <v>1</v>
      </c>
      <c r="F4" s="55">
        <f t="shared" si="0"/>
        <v>527472</v>
      </c>
      <c r="G4" s="55">
        <f t="shared" si="1"/>
        <v>94944.959999999992</v>
      </c>
      <c r="H4" s="56">
        <f t="shared" si="2"/>
        <v>622416.96</v>
      </c>
      <c r="I4" s="89">
        <f t="shared" si="3"/>
        <v>4440</v>
      </c>
      <c r="K4" s="94">
        <v>4440</v>
      </c>
    </row>
    <row r="5" spans="1:11" s="59" customFormat="1" ht="45" x14ac:dyDescent="0.2">
      <c r="A5" s="51">
        <v>4</v>
      </c>
      <c r="B5" s="51" t="s">
        <v>269</v>
      </c>
      <c r="C5" s="111" t="s">
        <v>371</v>
      </c>
      <c r="D5" s="51" t="s">
        <v>105</v>
      </c>
      <c r="E5" s="51">
        <v>1</v>
      </c>
      <c r="F5" s="55">
        <f t="shared" si="0"/>
        <v>1615680</v>
      </c>
      <c r="G5" s="55">
        <f t="shared" si="1"/>
        <v>290822.39999999997</v>
      </c>
      <c r="H5" s="56">
        <f t="shared" si="2"/>
        <v>1906502.4</v>
      </c>
      <c r="I5" s="89">
        <f t="shared" si="3"/>
        <v>13600</v>
      </c>
      <c r="K5" s="94">
        <v>13600</v>
      </c>
    </row>
    <row r="6" spans="1:11" s="59" customFormat="1" ht="45" x14ac:dyDescent="0.2">
      <c r="A6" s="51">
        <v>5</v>
      </c>
      <c r="B6" s="51" t="s">
        <v>269</v>
      </c>
      <c r="C6" s="111" t="s">
        <v>372</v>
      </c>
      <c r="D6" s="51" t="s">
        <v>105</v>
      </c>
      <c r="E6" s="51">
        <v>1</v>
      </c>
      <c r="F6" s="55">
        <f>I6*88*1.35</f>
        <v>1212948</v>
      </c>
      <c r="G6" s="55">
        <f t="shared" ref="G6:G9" si="4">F6*18%</f>
        <v>218330.63999999998</v>
      </c>
      <c r="H6" s="56">
        <f t="shared" ref="H6" si="5">E6*(F6+G6)</f>
        <v>1431278.64</v>
      </c>
      <c r="I6" s="89">
        <f t="shared" si="3"/>
        <v>10210</v>
      </c>
      <c r="K6" s="94">
        <v>10210</v>
      </c>
    </row>
    <row r="7" spans="1:11" s="59" customFormat="1" ht="60" x14ac:dyDescent="0.2">
      <c r="A7" s="51">
        <v>6</v>
      </c>
      <c r="B7" s="51" t="s">
        <v>269</v>
      </c>
      <c r="C7" s="111" t="s">
        <v>373</v>
      </c>
      <c r="D7" s="51" t="s">
        <v>105</v>
      </c>
      <c r="E7" s="51">
        <v>1</v>
      </c>
      <c r="F7" s="55">
        <f t="shared" ref="F7:F9" si="6">I7*88*1.35</f>
        <v>1399464</v>
      </c>
      <c r="G7" s="55">
        <f>F7*18%</f>
        <v>251903.52</v>
      </c>
      <c r="H7" s="56">
        <f>E7*(F7+G7)</f>
        <v>1651367.52</v>
      </c>
      <c r="I7" s="89">
        <f t="shared" si="3"/>
        <v>11780</v>
      </c>
      <c r="K7" s="94">
        <v>11780</v>
      </c>
    </row>
    <row r="8" spans="1:11" s="59" customFormat="1" ht="45" x14ac:dyDescent="0.2">
      <c r="A8" s="51">
        <v>7</v>
      </c>
      <c r="B8" s="51" t="s">
        <v>269</v>
      </c>
      <c r="C8" s="111" t="s">
        <v>374</v>
      </c>
      <c r="D8" s="51" t="s">
        <v>105</v>
      </c>
      <c r="E8" s="51">
        <v>1</v>
      </c>
      <c r="F8" s="55">
        <f t="shared" si="6"/>
        <v>570240</v>
      </c>
      <c r="G8" s="55">
        <f t="shared" si="4"/>
        <v>102643.2</v>
      </c>
      <c r="H8" s="56">
        <f t="shared" ref="H8:H9" si="7">E8*(F8+G8)</f>
        <v>672883.19999999995</v>
      </c>
      <c r="I8" s="89">
        <f t="shared" si="3"/>
        <v>4800</v>
      </c>
      <c r="K8" s="94">
        <v>4800</v>
      </c>
    </row>
    <row r="9" spans="1:11" s="59" customFormat="1" ht="45" x14ac:dyDescent="0.2">
      <c r="A9" s="51">
        <v>8</v>
      </c>
      <c r="B9" s="51" t="s">
        <v>269</v>
      </c>
      <c r="C9" s="111" t="s">
        <v>375</v>
      </c>
      <c r="D9" s="51" t="s">
        <v>105</v>
      </c>
      <c r="E9" s="51">
        <v>1</v>
      </c>
      <c r="F9" s="55">
        <f t="shared" si="6"/>
        <v>1685772</v>
      </c>
      <c r="G9" s="55">
        <f t="shared" si="4"/>
        <v>303438.95999999996</v>
      </c>
      <c r="H9" s="56">
        <f t="shared" si="7"/>
        <v>1989210.96</v>
      </c>
      <c r="I9" s="89">
        <f t="shared" si="3"/>
        <v>14190</v>
      </c>
      <c r="K9" s="94">
        <v>14190</v>
      </c>
    </row>
    <row r="10" spans="1:11" x14ac:dyDescent="0.2">
      <c r="A10" s="51">
        <v>9</v>
      </c>
      <c r="B10" s="343" t="s">
        <v>7</v>
      </c>
      <c r="C10" s="343"/>
      <c r="D10" s="343"/>
      <c r="E10" s="343"/>
      <c r="F10" s="343"/>
      <c r="G10" s="343"/>
      <c r="H10" s="107">
        <f>SUM(H2:H9)</f>
        <v>11110983.84</v>
      </c>
      <c r="I10" s="46"/>
      <c r="J10" s="105"/>
      <c r="K10" s="47"/>
    </row>
    <row r="11" spans="1:11" x14ac:dyDescent="0.2">
      <c r="A11" s="344"/>
      <c r="B11" s="345"/>
      <c r="C11" s="345"/>
      <c r="D11" s="345"/>
      <c r="E11" s="345"/>
      <c r="F11" s="345"/>
      <c r="G11" s="345"/>
      <c r="H11" s="346"/>
      <c r="J11" s="105"/>
    </row>
    <row r="12" spans="1:11" ht="140.25" x14ac:dyDescent="0.2">
      <c r="A12" s="58" t="s">
        <v>9</v>
      </c>
      <c r="B12" s="335" t="s">
        <v>327</v>
      </c>
      <c r="C12" s="335"/>
      <c r="D12" s="335"/>
      <c r="E12" s="335"/>
      <c r="F12" s="335"/>
      <c r="G12" s="335"/>
      <c r="H12" s="336"/>
      <c r="J12" s="105"/>
    </row>
    <row r="13" spans="1:11" x14ac:dyDescent="0.2">
      <c r="A13" s="59"/>
      <c r="B13" s="59"/>
      <c r="C13" s="59"/>
      <c r="D13" s="59"/>
      <c r="E13" s="59"/>
      <c r="F13" s="59"/>
      <c r="G13" s="59"/>
      <c r="H13" s="59"/>
      <c r="J13" s="105"/>
    </row>
    <row r="14" spans="1:11" x14ac:dyDescent="0.2">
      <c r="A14" s="59"/>
      <c r="B14" s="59"/>
      <c r="C14" s="59"/>
      <c r="D14" s="59"/>
      <c r="E14" s="59"/>
      <c r="F14" s="59"/>
      <c r="G14" s="59"/>
      <c r="H14" s="59"/>
      <c r="J14" s="105"/>
    </row>
    <row r="15" spans="1:11" x14ac:dyDescent="0.2">
      <c r="A15" s="59"/>
      <c r="B15" s="59"/>
      <c r="C15" s="59"/>
      <c r="D15" s="59"/>
      <c r="E15" s="59"/>
      <c r="F15" s="59"/>
      <c r="G15" s="59"/>
      <c r="H15" s="59"/>
      <c r="J15" s="105"/>
    </row>
    <row r="16" spans="1:11" x14ac:dyDescent="0.2">
      <c r="A16" s="59"/>
      <c r="B16" s="59"/>
      <c r="C16" s="59"/>
      <c r="D16" s="59"/>
      <c r="E16" s="59"/>
      <c r="F16" s="59"/>
      <c r="G16" s="59"/>
      <c r="H16" s="59"/>
      <c r="J16" s="105"/>
    </row>
    <row r="17" spans="1:11" x14ac:dyDescent="0.2">
      <c r="A17" s="59"/>
      <c r="B17" s="59"/>
      <c r="C17" s="59"/>
      <c r="D17" s="59"/>
      <c r="E17" s="59"/>
      <c r="F17" s="59"/>
      <c r="G17" s="59"/>
      <c r="H17" s="59"/>
      <c r="J17" s="105"/>
    </row>
    <row r="18" spans="1:11" x14ac:dyDescent="0.2">
      <c r="A18" s="59"/>
      <c r="B18" s="59"/>
      <c r="C18" s="59"/>
      <c r="D18" s="59"/>
      <c r="E18" s="59"/>
      <c r="F18" s="59"/>
      <c r="G18" s="59"/>
      <c r="H18" s="59"/>
      <c r="J18" s="105"/>
    </row>
    <row r="19" spans="1:11" s="106" customFormat="1" x14ac:dyDescent="0.2">
      <c r="A19" s="59"/>
      <c r="B19" s="59"/>
      <c r="C19" s="59"/>
      <c r="D19" s="59"/>
      <c r="E19" s="59"/>
      <c r="F19" s="59"/>
      <c r="G19" s="59"/>
      <c r="H19" s="59"/>
      <c r="K19" s="105"/>
    </row>
    <row r="20" spans="1:11" x14ac:dyDescent="0.2">
      <c r="J20" s="105"/>
    </row>
    <row r="21" spans="1:11" x14ac:dyDescent="0.2">
      <c r="J21" s="105"/>
    </row>
    <row r="22" spans="1:11" x14ac:dyDescent="0.2">
      <c r="J22" s="105"/>
    </row>
    <row r="23" spans="1:11" x14ac:dyDescent="0.2">
      <c r="J23" s="105"/>
    </row>
    <row r="24" spans="1:11" x14ac:dyDescent="0.2">
      <c r="J24" s="105"/>
    </row>
    <row r="25" spans="1:11" x14ac:dyDescent="0.2">
      <c r="J25" s="105"/>
    </row>
  </sheetData>
  <mergeCells count="3">
    <mergeCell ref="B10:G10"/>
    <mergeCell ref="A11:H11"/>
    <mergeCell ref="B12:H12"/>
  </mergeCells>
  <printOptions horizontalCentered="1"/>
  <pageMargins left="0.25" right="0.25" top="0.5" bottom="0.5" header="0.3" footer="0.05"/>
  <pageSetup scale="79" orientation="landscape" horizontalDpi="4294967292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K18"/>
  <sheetViews>
    <sheetView zoomScaleNormal="100" zoomScaleSheetLayoutView="115" workbookViewId="0">
      <selection activeCell="B5" sqref="B5:H5"/>
    </sheetView>
  </sheetViews>
  <sheetFormatPr defaultColWidth="9.140625" defaultRowHeight="12.75" x14ac:dyDescent="0.2"/>
  <cols>
    <col min="1" max="1" width="5.85546875" style="105" bestFit="1" customWidth="1"/>
    <col min="2" max="2" width="12.5703125" style="105" customWidth="1"/>
    <col min="3" max="3" width="32" style="105" customWidth="1"/>
    <col min="4" max="4" width="5" style="105" bestFit="1" customWidth="1"/>
    <col min="5" max="5" width="6.28515625" style="105" bestFit="1" customWidth="1"/>
    <col min="6" max="7" width="11.5703125" style="105" bestFit="1" customWidth="1"/>
    <col min="8" max="8" width="16.5703125" style="105" bestFit="1" customWidth="1"/>
    <col min="9" max="9" width="9.140625" style="106"/>
    <col min="10" max="10" width="9.140625" style="59"/>
    <col min="11" max="11" width="13.28515625" style="105" bestFit="1" customWidth="1"/>
    <col min="12" max="12" width="9.140625" style="105"/>
    <col min="13" max="13" width="10.85546875" style="105" bestFit="1" customWidth="1"/>
    <col min="14" max="16384" width="9.140625" style="105"/>
  </cols>
  <sheetData>
    <row r="1" spans="1:11" ht="25.5" x14ac:dyDescent="0.2">
      <c r="A1" s="48" t="s">
        <v>0</v>
      </c>
      <c r="B1" s="49" t="s">
        <v>5</v>
      </c>
      <c r="C1" s="49" t="s">
        <v>2</v>
      </c>
      <c r="D1" s="49" t="s">
        <v>3</v>
      </c>
      <c r="E1" s="49" t="s">
        <v>13</v>
      </c>
      <c r="F1" s="50" t="s">
        <v>11</v>
      </c>
      <c r="G1" s="50" t="s">
        <v>303</v>
      </c>
      <c r="H1" s="50" t="s">
        <v>12</v>
      </c>
      <c r="I1" s="40" t="s">
        <v>17</v>
      </c>
      <c r="K1" s="42" t="s">
        <v>10</v>
      </c>
    </row>
    <row r="2" spans="1:11" s="59" customFormat="1" ht="51" x14ac:dyDescent="0.2">
      <c r="A2" s="51">
        <v>1</v>
      </c>
      <c r="B2" s="51" t="s">
        <v>269</v>
      </c>
      <c r="C2" s="53" t="s">
        <v>376</v>
      </c>
      <c r="D2" s="51" t="s">
        <v>109</v>
      </c>
      <c r="E2" s="51">
        <v>2</v>
      </c>
      <c r="F2" s="55">
        <f>I2*88*1.31</f>
        <v>605220</v>
      </c>
      <c r="G2" s="55">
        <f t="shared" ref="G2" si="0">F2*18%</f>
        <v>108939.59999999999</v>
      </c>
      <c r="H2" s="56">
        <f t="shared" ref="H2" si="1">E2*(F2+G2)</f>
        <v>1428319.2</v>
      </c>
      <c r="I2" s="89">
        <f>K2</f>
        <v>5250</v>
      </c>
      <c r="K2" s="94">
        <v>5250</v>
      </c>
    </row>
    <row r="3" spans="1:11" x14ac:dyDescent="0.2">
      <c r="A3" s="51">
        <v>2</v>
      </c>
      <c r="B3" s="343" t="s">
        <v>7</v>
      </c>
      <c r="C3" s="343"/>
      <c r="D3" s="343"/>
      <c r="E3" s="343"/>
      <c r="F3" s="343"/>
      <c r="G3" s="343"/>
      <c r="H3" s="107">
        <f>SUM(H2:H2)</f>
        <v>1428319.2</v>
      </c>
      <c r="I3" s="46"/>
      <c r="J3" s="105"/>
      <c r="K3" s="47"/>
    </row>
    <row r="4" spans="1:11" x14ac:dyDescent="0.2">
      <c r="A4" s="344"/>
      <c r="B4" s="345"/>
      <c r="C4" s="345"/>
      <c r="D4" s="345"/>
      <c r="E4" s="345"/>
      <c r="F4" s="345"/>
      <c r="G4" s="345"/>
      <c r="H4" s="346"/>
      <c r="J4" s="105"/>
    </row>
    <row r="5" spans="1:11" ht="140.25" x14ac:dyDescent="0.2">
      <c r="A5" s="58" t="s">
        <v>9</v>
      </c>
      <c r="B5" s="335" t="s">
        <v>327</v>
      </c>
      <c r="C5" s="335"/>
      <c r="D5" s="335"/>
      <c r="E5" s="335"/>
      <c r="F5" s="335"/>
      <c r="G5" s="335"/>
      <c r="H5" s="336"/>
      <c r="J5" s="105"/>
    </row>
    <row r="6" spans="1:11" x14ac:dyDescent="0.2">
      <c r="A6" s="59"/>
      <c r="B6" s="59"/>
      <c r="C6" s="59"/>
      <c r="D6" s="59"/>
      <c r="E6" s="59"/>
      <c r="F6" s="59"/>
      <c r="G6" s="59"/>
      <c r="H6" s="59"/>
      <c r="J6" s="105"/>
    </row>
    <row r="7" spans="1:11" x14ac:dyDescent="0.2">
      <c r="A7" s="59"/>
      <c r="B7" s="59"/>
      <c r="C7" s="59"/>
      <c r="D7" s="59"/>
      <c r="E7" s="59"/>
      <c r="F7" s="59"/>
      <c r="G7" s="59"/>
      <c r="H7" s="59"/>
      <c r="J7" s="105"/>
    </row>
    <row r="8" spans="1:11" x14ac:dyDescent="0.2">
      <c r="A8" s="59"/>
      <c r="B8" s="59"/>
      <c r="C8" s="59"/>
      <c r="D8" s="59"/>
      <c r="E8" s="59"/>
      <c r="F8" s="59"/>
      <c r="G8" s="59"/>
      <c r="H8" s="59"/>
      <c r="J8" s="105"/>
    </row>
    <row r="9" spans="1:11" x14ac:dyDescent="0.2">
      <c r="A9" s="59"/>
      <c r="B9" s="59"/>
      <c r="C9" s="59"/>
      <c r="D9" s="59"/>
      <c r="E9" s="59"/>
      <c r="F9" s="59"/>
      <c r="G9" s="59"/>
      <c r="H9" s="59"/>
      <c r="J9" s="105"/>
    </row>
    <row r="10" spans="1:11" x14ac:dyDescent="0.2">
      <c r="A10" s="59"/>
      <c r="B10" s="59"/>
      <c r="C10" s="59"/>
      <c r="D10" s="59"/>
      <c r="E10" s="59"/>
      <c r="F10" s="59"/>
      <c r="G10" s="59"/>
      <c r="H10" s="59"/>
      <c r="J10" s="105"/>
    </row>
    <row r="11" spans="1:11" x14ac:dyDescent="0.2">
      <c r="A11" s="59"/>
      <c r="B11" s="59"/>
      <c r="C11" s="59"/>
      <c r="D11" s="59"/>
      <c r="E11" s="59"/>
      <c r="F11" s="59"/>
      <c r="G11" s="59"/>
      <c r="H11" s="59"/>
      <c r="J11" s="105"/>
    </row>
    <row r="12" spans="1:11" s="106" customFormat="1" x14ac:dyDescent="0.2">
      <c r="A12" s="59"/>
      <c r="B12" s="59"/>
      <c r="C12" s="59"/>
      <c r="D12" s="59"/>
      <c r="E12" s="59"/>
      <c r="F12" s="59"/>
      <c r="G12" s="59"/>
      <c r="H12" s="59"/>
      <c r="K12" s="105"/>
    </row>
    <row r="13" spans="1:11" x14ac:dyDescent="0.2">
      <c r="J13" s="105"/>
    </row>
    <row r="14" spans="1:11" x14ac:dyDescent="0.2">
      <c r="J14" s="105"/>
    </row>
    <row r="15" spans="1:11" x14ac:dyDescent="0.2">
      <c r="J15" s="105"/>
    </row>
    <row r="16" spans="1:11" x14ac:dyDescent="0.2">
      <c r="J16" s="105"/>
    </row>
    <row r="17" spans="10:10" x14ac:dyDescent="0.2">
      <c r="J17" s="105"/>
    </row>
    <row r="18" spans="10:10" x14ac:dyDescent="0.2">
      <c r="J18" s="105"/>
    </row>
  </sheetData>
  <mergeCells count="3">
    <mergeCell ref="B3:G3"/>
    <mergeCell ref="A4:H4"/>
    <mergeCell ref="B5:H5"/>
  </mergeCells>
  <printOptions horizontalCentered="1"/>
  <pageMargins left="0.25" right="0.25" top="0.5" bottom="0.5" header="0.3" footer="0.05"/>
  <pageSetup scale="79" orientation="landscape" horizontalDpi="4294967292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K14"/>
  <sheetViews>
    <sheetView view="pageBreakPreview" zoomScaleSheetLayoutView="100" workbookViewId="0">
      <selection activeCell="C2" sqref="C2"/>
    </sheetView>
  </sheetViews>
  <sheetFormatPr defaultColWidth="9.140625" defaultRowHeight="11.25" x14ac:dyDescent="0.15"/>
  <cols>
    <col min="1" max="1" width="5.85546875" style="4" bestFit="1" customWidth="1"/>
    <col min="2" max="2" width="12.5703125" style="4" customWidth="1"/>
    <col min="3" max="3" width="50.42578125" style="4" customWidth="1"/>
    <col min="4" max="4" width="5" style="4" bestFit="1" customWidth="1"/>
    <col min="5" max="5" width="6.28515625" style="4" bestFit="1" customWidth="1"/>
    <col min="6" max="6" width="11.5703125" style="4" bestFit="1" customWidth="1"/>
    <col min="7" max="7" width="16.5703125" style="4" bestFit="1" customWidth="1"/>
    <col min="8" max="8" width="16.5703125" style="93" customWidth="1"/>
    <col min="9" max="9" width="9.140625" style="1"/>
    <col min="10" max="10" width="13.28515625" style="4" bestFit="1" customWidth="1"/>
    <col min="11" max="16384" width="9.140625" style="4"/>
  </cols>
  <sheetData>
    <row r="1" spans="1:11" ht="25.5" x14ac:dyDescent="0.15">
      <c r="A1" s="95" t="s">
        <v>0</v>
      </c>
      <c r="B1" s="96" t="s">
        <v>5</v>
      </c>
      <c r="C1" s="96" t="s">
        <v>2</v>
      </c>
      <c r="D1" s="96" t="s">
        <v>3</v>
      </c>
      <c r="E1" s="96" t="s">
        <v>13</v>
      </c>
      <c r="F1" s="97" t="s">
        <v>11</v>
      </c>
      <c r="G1" s="97" t="s">
        <v>12</v>
      </c>
      <c r="H1" s="50" t="s">
        <v>120</v>
      </c>
      <c r="I1" s="40" t="s">
        <v>17</v>
      </c>
      <c r="J1" s="42" t="s">
        <v>10</v>
      </c>
      <c r="K1" s="4" t="s">
        <v>258</v>
      </c>
    </row>
    <row r="2" spans="1:11" s="59" customFormat="1" ht="76.5" x14ac:dyDescent="0.2">
      <c r="A2" s="51">
        <v>1</v>
      </c>
      <c r="B2" s="51">
        <v>4000010755</v>
      </c>
      <c r="C2" s="63" t="s">
        <v>267</v>
      </c>
      <c r="D2" s="54" t="s">
        <v>109</v>
      </c>
      <c r="E2" s="51">
        <v>50</v>
      </c>
      <c r="F2" s="55">
        <f>80*1.33*I2</f>
        <v>3724</v>
      </c>
      <c r="G2" s="56">
        <f t="shared" ref="G2" si="0">F2*E2</f>
        <v>186200</v>
      </c>
      <c r="H2" s="89"/>
      <c r="I2" s="89">
        <v>35</v>
      </c>
      <c r="J2" s="94">
        <v>33</v>
      </c>
    </row>
    <row r="3" spans="1:11" ht="12.75" x14ac:dyDescent="0.15">
      <c r="A3" s="98">
        <v>2</v>
      </c>
      <c r="B3" s="337" t="s">
        <v>7</v>
      </c>
      <c r="C3" s="337"/>
      <c r="D3" s="337"/>
      <c r="E3" s="337"/>
      <c r="F3" s="337"/>
      <c r="G3" s="57">
        <f>SUM(G2:G2)</f>
        <v>186200</v>
      </c>
      <c r="H3" s="90"/>
      <c r="I3" s="46"/>
      <c r="J3" s="47"/>
    </row>
    <row r="4" spans="1:11" ht="12.75" x14ac:dyDescent="0.15">
      <c r="A4" s="51">
        <v>3</v>
      </c>
      <c r="B4" s="337" t="s">
        <v>100</v>
      </c>
      <c r="C4" s="337"/>
      <c r="D4" s="337"/>
      <c r="E4" s="337"/>
      <c r="F4" s="337"/>
      <c r="G4" s="57">
        <f>G3*18%</f>
        <v>33516</v>
      </c>
      <c r="H4" s="90"/>
    </row>
    <row r="5" spans="1:11" ht="12.75" x14ac:dyDescent="0.15">
      <c r="A5" s="51">
        <v>4</v>
      </c>
      <c r="B5" s="337" t="s">
        <v>8</v>
      </c>
      <c r="C5" s="337"/>
      <c r="D5" s="337"/>
      <c r="E5" s="337"/>
      <c r="F5" s="337"/>
      <c r="G5" s="57">
        <f>G4+G3</f>
        <v>219716</v>
      </c>
      <c r="H5" s="90"/>
    </row>
    <row r="6" spans="1:11" ht="12.75" x14ac:dyDescent="0.15">
      <c r="A6" s="344"/>
      <c r="B6" s="345"/>
      <c r="C6" s="345"/>
      <c r="D6" s="345"/>
      <c r="E6" s="345"/>
      <c r="F6" s="345"/>
      <c r="G6" s="346"/>
      <c r="H6" s="91"/>
    </row>
    <row r="7" spans="1:11" ht="140.25" x14ac:dyDescent="0.15">
      <c r="A7" s="58" t="s">
        <v>9</v>
      </c>
      <c r="B7" s="335" t="s">
        <v>265</v>
      </c>
      <c r="C7" s="335"/>
      <c r="D7" s="335"/>
      <c r="E7" s="335"/>
      <c r="F7" s="335"/>
      <c r="G7" s="336"/>
      <c r="H7" s="88"/>
    </row>
    <row r="8" spans="1:11" ht="12.75" x14ac:dyDescent="0.2">
      <c r="A8" s="59"/>
      <c r="B8" s="59"/>
      <c r="C8" s="59"/>
      <c r="D8" s="59"/>
      <c r="E8" s="59"/>
      <c r="F8" s="59"/>
      <c r="G8" s="59"/>
      <c r="H8" s="92"/>
    </row>
    <row r="9" spans="1:11" ht="12.75" x14ac:dyDescent="0.2">
      <c r="A9" s="59"/>
      <c r="B9" s="59"/>
      <c r="C9" s="59"/>
      <c r="D9" s="59"/>
      <c r="E9" s="59"/>
      <c r="F9" s="59"/>
      <c r="G9" s="59"/>
      <c r="H9" s="92"/>
    </row>
    <row r="10" spans="1:11" ht="12.75" x14ac:dyDescent="0.2">
      <c r="A10" s="59"/>
      <c r="B10" s="59"/>
      <c r="C10" s="59"/>
      <c r="D10" s="59"/>
      <c r="E10" s="59"/>
      <c r="F10" s="59"/>
      <c r="G10" s="59"/>
      <c r="H10" s="92"/>
    </row>
    <row r="11" spans="1:11" ht="12.75" x14ac:dyDescent="0.2">
      <c r="A11" s="59"/>
      <c r="B11" s="59"/>
      <c r="C11" s="59"/>
      <c r="D11" s="59"/>
      <c r="E11" s="59"/>
      <c r="F11" s="59"/>
      <c r="G11" s="59"/>
      <c r="H11" s="92"/>
    </row>
    <row r="12" spans="1:11" ht="12.75" x14ac:dyDescent="0.2">
      <c r="A12" s="59"/>
      <c r="B12" s="59"/>
      <c r="C12" s="59"/>
      <c r="D12" s="59"/>
      <c r="E12" s="59"/>
      <c r="F12" s="59"/>
      <c r="G12" s="59"/>
      <c r="H12" s="92"/>
    </row>
    <row r="13" spans="1:11" ht="12.75" x14ac:dyDescent="0.2">
      <c r="A13" s="59"/>
      <c r="B13" s="59"/>
      <c r="C13" s="59"/>
      <c r="D13" s="59"/>
      <c r="E13" s="59"/>
      <c r="F13" s="59"/>
      <c r="G13" s="59"/>
      <c r="H13" s="92"/>
    </row>
    <row r="14" spans="1:11" s="1" customFormat="1" ht="12.75" x14ac:dyDescent="0.2">
      <c r="A14" s="59"/>
      <c r="B14" s="59"/>
      <c r="C14" s="59"/>
      <c r="D14" s="59"/>
      <c r="E14" s="59"/>
      <c r="F14" s="59"/>
      <c r="G14" s="59"/>
      <c r="H14" s="92"/>
      <c r="J14" s="4"/>
    </row>
  </sheetData>
  <mergeCells count="5">
    <mergeCell ref="B3:F3"/>
    <mergeCell ref="B4:F4"/>
    <mergeCell ref="B5:F5"/>
    <mergeCell ref="A6:G6"/>
    <mergeCell ref="B7:G7"/>
  </mergeCells>
  <printOptions horizontalCentered="1"/>
  <pageMargins left="0.25" right="0.25" top="0.5" bottom="0.5" header="0.3" footer="0.05"/>
  <pageSetup orientation="landscape" horizontalDpi="4294967292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K14"/>
  <sheetViews>
    <sheetView view="pageBreakPreview" zoomScaleSheetLayoutView="100" workbookViewId="0">
      <selection activeCell="C2" sqref="C2"/>
    </sheetView>
  </sheetViews>
  <sheetFormatPr defaultColWidth="9.140625" defaultRowHeight="11.25" x14ac:dyDescent="0.15"/>
  <cols>
    <col min="1" max="1" width="5.85546875" style="4" bestFit="1" customWidth="1"/>
    <col min="2" max="2" width="12.5703125" style="4" customWidth="1"/>
    <col min="3" max="3" width="50.42578125" style="4" customWidth="1"/>
    <col min="4" max="4" width="5" style="4" bestFit="1" customWidth="1"/>
    <col min="5" max="5" width="6.28515625" style="4" bestFit="1" customWidth="1"/>
    <col min="6" max="6" width="11.5703125" style="4" bestFit="1" customWidth="1"/>
    <col min="7" max="7" width="16.5703125" style="4" bestFit="1" customWidth="1"/>
    <col min="8" max="8" width="16.5703125" style="93" customWidth="1"/>
    <col min="9" max="9" width="9.140625" style="1"/>
    <col min="10" max="10" width="13.28515625" style="4" bestFit="1" customWidth="1"/>
    <col min="11" max="16384" width="9.140625" style="4"/>
  </cols>
  <sheetData>
    <row r="1" spans="1:11" ht="25.5" x14ac:dyDescent="0.15">
      <c r="A1" s="95" t="s">
        <v>0</v>
      </c>
      <c r="B1" s="96" t="s">
        <v>5</v>
      </c>
      <c r="C1" s="96" t="s">
        <v>2</v>
      </c>
      <c r="D1" s="96" t="s">
        <v>3</v>
      </c>
      <c r="E1" s="96" t="s">
        <v>13</v>
      </c>
      <c r="F1" s="97" t="s">
        <v>11</v>
      </c>
      <c r="G1" s="97" t="s">
        <v>12</v>
      </c>
      <c r="H1" s="50" t="s">
        <v>120</v>
      </c>
      <c r="I1" s="40" t="s">
        <v>17</v>
      </c>
      <c r="J1" s="42" t="s">
        <v>10</v>
      </c>
      <c r="K1" s="4" t="s">
        <v>258</v>
      </c>
    </row>
    <row r="2" spans="1:11" s="59" customFormat="1" ht="38.25" x14ac:dyDescent="0.2">
      <c r="A2" s="51">
        <v>1</v>
      </c>
      <c r="B2" s="51" t="s">
        <v>269</v>
      </c>
      <c r="C2" s="63" t="s">
        <v>377</v>
      </c>
      <c r="D2" s="54" t="s">
        <v>109</v>
      </c>
      <c r="E2" s="51">
        <v>4</v>
      </c>
      <c r="F2" s="55">
        <f>88*1.32*I2</f>
        <v>40656.000000000007</v>
      </c>
      <c r="G2" s="56">
        <f t="shared" ref="G2" si="0">F2*E2</f>
        <v>162624.00000000003</v>
      </c>
      <c r="H2" s="89"/>
      <c r="I2" s="89">
        <v>350</v>
      </c>
      <c r="J2" s="94">
        <v>330</v>
      </c>
    </row>
    <row r="3" spans="1:11" ht="12.75" x14ac:dyDescent="0.15">
      <c r="A3" s="98">
        <v>2</v>
      </c>
      <c r="B3" s="337" t="s">
        <v>7</v>
      </c>
      <c r="C3" s="337"/>
      <c r="D3" s="337"/>
      <c r="E3" s="337"/>
      <c r="F3" s="337"/>
      <c r="G3" s="57">
        <f>SUM(G2:G2)</f>
        <v>162624.00000000003</v>
      </c>
      <c r="H3" s="90"/>
      <c r="I3" s="46"/>
      <c r="J3" s="47"/>
    </row>
    <row r="4" spans="1:11" ht="12.75" x14ac:dyDescent="0.15">
      <c r="A4" s="51">
        <v>3</v>
      </c>
      <c r="B4" s="337" t="s">
        <v>100</v>
      </c>
      <c r="C4" s="337"/>
      <c r="D4" s="337"/>
      <c r="E4" s="337"/>
      <c r="F4" s="337"/>
      <c r="G4" s="57">
        <f>G3*18%</f>
        <v>29272.320000000003</v>
      </c>
      <c r="H4" s="90"/>
    </row>
    <row r="5" spans="1:11" ht="12.75" x14ac:dyDescent="0.15">
      <c r="A5" s="51">
        <v>4</v>
      </c>
      <c r="B5" s="337" t="s">
        <v>8</v>
      </c>
      <c r="C5" s="337"/>
      <c r="D5" s="337"/>
      <c r="E5" s="337"/>
      <c r="F5" s="337"/>
      <c r="G5" s="57">
        <f>G4+G3</f>
        <v>191896.32000000004</v>
      </c>
      <c r="H5" s="90"/>
    </row>
    <row r="6" spans="1:11" ht="12.75" x14ac:dyDescent="0.15">
      <c r="A6" s="344"/>
      <c r="B6" s="345"/>
      <c r="C6" s="345"/>
      <c r="D6" s="345"/>
      <c r="E6" s="345"/>
      <c r="F6" s="345"/>
      <c r="G6" s="346"/>
      <c r="H6" s="91"/>
    </row>
    <row r="7" spans="1:11" ht="140.25" x14ac:dyDescent="0.15">
      <c r="A7" s="58" t="s">
        <v>9</v>
      </c>
      <c r="B7" s="335" t="s">
        <v>378</v>
      </c>
      <c r="C7" s="335"/>
      <c r="D7" s="335"/>
      <c r="E7" s="335"/>
      <c r="F7" s="335"/>
      <c r="G7" s="336"/>
      <c r="H7" s="88"/>
    </row>
    <row r="8" spans="1:11" ht="12.75" x14ac:dyDescent="0.2">
      <c r="A8" s="59"/>
      <c r="B8" s="59"/>
      <c r="C8" s="59"/>
      <c r="D8" s="59"/>
      <c r="E8" s="59"/>
      <c r="F8" s="59"/>
      <c r="G8" s="59"/>
      <c r="H8" s="92"/>
    </row>
    <row r="9" spans="1:11" ht="12.75" x14ac:dyDescent="0.2">
      <c r="A9" s="59"/>
      <c r="B9" s="59"/>
      <c r="C9" s="59"/>
      <c r="D9" s="59"/>
      <c r="E9" s="59"/>
      <c r="F9" s="59"/>
      <c r="G9" s="59"/>
      <c r="H9" s="92"/>
    </row>
    <row r="10" spans="1:11" ht="12.75" x14ac:dyDescent="0.2">
      <c r="A10" s="59"/>
      <c r="B10" s="59"/>
      <c r="C10" s="59"/>
      <c r="D10" s="59"/>
      <c r="E10" s="59"/>
      <c r="F10" s="59"/>
      <c r="G10" s="59"/>
      <c r="H10" s="92"/>
    </row>
    <row r="11" spans="1:11" ht="12.75" x14ac:dyDescent="0.2">
      <c r="A11" s="59"/>
      <c r="B11" s="59"/>
      <c r="C11" s="59"/>
      <c r="D11" s="59"/>
      <c r="E11" s="59"/>
      <c r="F11" s="59"/>
      <c r="G11" s="59"/>
      <c r="H11" s="92"/>
    </row>
    <row r="12" spans="1:11" ht="12.75" x14ac:dyDescent="0.2">
      <c r="A12" s="59"/>
      <c r="B12" s="59"/>
      <c r="C12" s="59"/>
      <c r="D12" s="59"/>
      <c r="E12" s="59"/>
      <c r="F12" s="59"/>
      <c r="G12" s="59"/>
      <c r="H12" s="92"/>
    </row>
    <row r="13" spans="1:11" ht="12.75" x14ac:dyDescent="0.2">
      <c r="A13" s="59"/>
      <c r="B13" s="59"/>
      <c r="C13" s="59"/>
      <c r="D13" s="59"/>
      <c r="E13" s="59"/>
      <c r="F13" s="59"/>
      <c r="G13" s="59"/>
      <c r="H13" s="92"/>
    </row>
    <row r="14" spans="1:11" s="1" customFormat="1" ht="12.75" x14ac:dyDescent="0.2">
      <c r="A14" s="59"/>
      <c r="B14" s="59"/>
      <c r="C14" s="59"/>
      <c r="D14" s="59"/>
      <c r="E14" s="59"/>
      <c r="F14" s="59"/>
      <c r="G14" s="59"/>
      <c r="H14" s="92"/>
      <c r="J14" s="4"/>
    </row>
  </sheetData>
  <mergeCells count="5">
    <mergeCell ref="B3:F3"/>
    <mergeCell ref="B4:F4"/>
    <mergeCell ref="B5:F5"/>
    <mergeCell ref="A6:G6"/>
    <mergeCell ref="B7:G7"/>
  </mergeCells>
  <printOptions horizontalCentered="1"/>
  <pageMargins left="0.25" right="0.25" top="0.5" bottom="0.5" header="0.3" footer="0.05"/>
  <pageSetup orientation="landscape" horizontalDpi="4294967292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K15"/>
  <sheetViews>
    <sheetView view="pageBreakPreview" zoomScaleSheetLayoutView="100" workbookViewId="0">
      <selection activeCell="C2" sqref="C2"/>
    </sheetView>
  </sheetViews>
  <sheetFormatPr defaultColWidth="9.140625" defaultRowHeight="11.25" x14ac:dyDescent="0.15"/>
  <cols>
    <col min="1" max="1" width="5.85546875" style="4" bestFit="1" customWidth="1"/>
    <col min="2" max="2" width="12.5703125" style="4" customWidth="1"/>
    <col min="3" max="3" width="50.42578125" style="4" customWidth="1"/>
    <col min="4" max="4" width="5" style="4" bestFit="1" customWidth="1"/>
    <col min="5" max="5" width="6.28515625" style="4" bestFit="1" customWidth="1"/>
    <col min="6" max="6" width="11.5703125" style="4" bestFit="1" customWidth="1"/>
    <col min="7" max="7" width="16.5703125" style="4" bestFit="1" customWidth="1"/>
    <col min="8" max="8" width="16.5703125" style="93" customWidth="1"/>
    <col min="9" max="9" width="9.140625" style="1"/>
    <col min="10" max="10" width="13.28515625" style="4" bestFit="1" customWidth="1"/>
    <col min="11" max="16384" width="9.140625" style="4"/>
  </cols>
  <sheetData>
    <row r="1" spans="1:11" ht="25.5" x14ac:dyDescent="0.15">
      <c r="A1" s="95" t="s">
        <v>0</v>
      </c>
      <c r="B1" s="96" t="s">
        <v>5</v>
      </c>
      <c r="C1" s="96" t="s">
        <v>2</v>
      </c>
      <c r="D1" s="96" t="s">
        <v>3</v>
      </c>
      <c r="E1" s="96" t="s">
        <v>13</v>
      </c>
      <c r="F1" s="97" t="s">
        <v>11</v>
      </c>
      <c r="G1" s="97" t="s">
        <v>12</v>
      </c>
      <c r="H1" s="50" t="s">
        <v>120</v>
      </c>
      <c r="I1" s="40" t="s">
        <v>17</v>
      </c>
      <c r="J1" s="42" t="s">
        <v>110</v>
      </c>
      <c r="K1" s="4" t="s">
        <v>258</v>
      </c>
    </row>
    <row r="2" spans="1:11" s="59" customFormat="1" ht="51" x14ac:dyDescent="0.2">
      <c r="A2" s="51">
        <v>1</v>
      </c>
      <c r="B2" s="51" t="s">
        <v>269</v>
      </c>
      <c r="C2" s="63" t="s">
        <v>379</v>
      </c>
      <c r="D2" s="54" t="s">
        <v>109</v>
      </c>
      <c r="E2" s="51">
        <v>1</v>
      </c>
      <c r="F2" s="55">
        <f>86*1.3*H2</f>
        <v>333164</v>
      </c>
      <c r="G2" s="56">
        <f t="shared" ref="G2:G3" si="0">F2*E2</f>
        <v>333164</v>
      </c>
      <c r="H2" s="89">
        <v>2980</v>
      </c>
      <c r="I2" s="89"/>
      <c r="J2" s="94">
        <v>2900</v>
      </c>
    </row>
    <row r="3" spans="1:11" s="59" customFormat="1" ht="25.5" x14ac:dyDescent="0.2">
      <c r="A3" s="51">
        <v>2</v>
      </c>
      <c r="B3" s="51" t="s">
        <v>269</v>
      </c>
      <c r="C3" s="63" t="s">
        <v>380</v>
      </c>
      <c r="D3" s="54" t="s">
        <v>109</v>
      </c>
      <c r="E3" s="51">
        <v>2</v>
      </c>
      <c r="F3" s="103">
        <v>4144.28</v>
      </c>
      <c r="G3" s="56">
        <f t="shared" si="0"/>
        <v>8288.56</v>
      </c>
      <c r="H3" s="63"/>
      <c r="I3" s="89"/>
      <c r="J3" s="94">
        <v>18</v>
      </c>
    </row>
    <row r="4" spans="1:11" ht="12.75" x14ac:dyDescent="0.15">
      <c r="A4" s="98">
        <v>3</v>
      </c>
      <c r="B4" s="337" t="s">
        <v>7</v>
      </c>
      <c r="C4" s="337"/>
      <c r="D4" s="337"/>
      <c r="E4" s="337"/>
      <c r="F4" s="337"/>
      <c r="G4" s="57">
        <f>G2+G3</f>
        <v>341452.56</v>
      </c>
      <c r="H4" s="90"/>
      <c r="I4" s="46"/>
      <c r="J4" s="47"/>
    </row>
    <row r="5" spans="1:11" ht="12.75" x14ac:dyDescent="0.15">
      <c r="A5" s="51">
        <v>4</v>
      </c>
      <c r="B5" s="337" t="s">
        <v>100</v>
      </c>
      <c r="C5" s="337"/>
      <c r="D5" s="337"/>
      <c r="E5" s="337"/>
      <c r="F5" s="337"/>
      <c r="G5" s="57">
        <f>G4*18%</f>
        <v>61461.460800000001</v>
      </c>
      <c r="H5" s="90"/>
    </row>
    <row r="6" spans="1:11" ht="12.75" x14ac:dyDescent="0.15">
      <c r="A6" s="51">
        <v>5</v>
      </c>
      <c r="B6" s="337" t="s">
        <v>8</v>
      </c>
      <c r="C6" s="337"/>
      <c r="D6" s="337"/>
      <c r="E6" s="337"/>
      <c r="F6" s="337"/>
      <c r="G6" s="57">
        <f>G5+G4</f>
        <v>402914.0208</v>
      </c>
      <c r="H6" s="90"/>
    </row>
    <row r="7" spans="1:11" ht="12.75" x14ac:dyDescent="0.15">
      <c r="A7" s="344"/>
      <c r="B7" s="345"/>
      <c r="C7" s="345"/>
      <c r="D7" s="345"/>
      <c r="E7" s="345"/>
      <c r="F7" s="345"/>
      <c r="G7" s="346"/>
      <c r="H7" s="91"/>
    </row>
    <row r="8" spans="1:11" ht="140.25" x14ac:dyDescent="0.15">
      <c r="A8" s="58" t="s">
        <v>9</v>
      </c>
      <c r="B8" s="335" t="s">
        <v>381</v>
      </c>
      <c r="C8" s="335"/>
      <c r="D8" s="335"/>
      <c r="E8" s="335"/>
      <c r="F8" s="335"/>
      <c r="G8" s="336"/>
      <c r="H8" s="88"/>
    </row>
    <row r="9" spans="1:11" ht="12.75" x14ac:dyDescent="0.2">
      <c r="A9" s="59"/>
      <c r="B9" s="59"/>
      <c r="C9" s="59"/>
      <c r="D9" s="59"/>
      <c r="E9" s="59"/>
      <c r="F9" s="59"/>
      <c r="G9" s="59"/>
      <c r="H9" s="92"/>
    </row>
    <row r="10" spans="1:11" ht="12.75" x14ac:dyDescent="0.2">
      <c r="A10" s="59"/>
      <c r="B10" s="59"/>
      <c r="C10" s="59"/>
      <c r="D10" s="59"/>
      <c r="E10" s="59"/>
      <c r="F10" s="59"/>
      <c r="G10" s="59"/>
      <c r="H10" s="92"/>
    </row>
    <row r="11" spans="1:11" ht="12.75" x14ac:dyDescent="0.2">
      <c r="A11" s="59"/>
      <c r="B11" s="59"/>
      <c r="C11" s="59"/>
      <c r="D11" s="59"/>
      <c r="E11" s="59"/>
      <c r="F11" s="59"/>
      <c r="G11" s="59"/>
      <c r="H11" s="92"/>
    </row>
    <row r="12" spans="1:11" ht="12.75" x14ac:dyDescent="0.2">
      <c r="A12" s="59"/>
      <c r="B12" s="59"/>
      <c r="C12" s="59"/>
      <c r="D12" s="59"/>
      <c r="E12" s="59"/>
      <c r="F12" s="59"/>
      <c r="G12" s="59"/>
      <c r="H12" s="92"/>
    </row>
    <row r="13" spans="1:11" ht="12.75" x14ac:dyDescent="0.2">
      <c r="A13" s="59"/>
      <c r="B13" s="59"/>
      <c r="C13" s="59"/>
      <c r="D13" s="59"/>
      <c r="E13" s="59"/>
      <c r="F13" s="59"/>
      <c r="G13" s="59"/>
      <c r="H13" s="92"/>
    </row>
    <row r="14" spans="1:11" ht="12.75" x14ac:dyDescent="0.2">
      <c r="A14" s="59"/>
      <c r="B14" s="59"/>
      <c r="C14" s="59"/>
      <c r="D14" s="59"/>
      <c r="E14" s="59"/>
      <c r="F14" s="59"/>
      <c r="G14" s="59"/>
      <c r="H14" s="92"/>
    </row>
    <row r="15" spans="1:11" s="1" customFormat="1" ht="12.75" x14ac:dyDescent="0.2">
      <c r="A15" s="59"/>
      <c r="B15" s="59"/>
      <c r="C15" s="59"/>
      <c r="D15" s="59"/>
      <c r="E15" s="59"/>
      <c r="F15" s="59"/>
      <c r="G15" s="59"/>
      <c r="H15" s="92"/>
      <c r="J15" s="4"/>
    </row>
  </sheetData>
  <mergeCells count="5">
    <mergeCell ref="B4:F4"/>
    <mergeCell ref="B5:F5"/>
    <mergeCell ref="B6:F6"/>
    <mergeCell ref="A7:G7"/>
    <mergeCell ref="B8:G8"/>
  </mergeCells>
  <printOptions horizontalCentered="1"/>
  <pageMargins left="0.25" right="0.25" top="0.5" bottom="0.5" header="0.3" footer="0.05"/>
  <pageSetup orientation="landscape" horizontalDpi="4294967292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K16"/>
  <sheetViews>
    <sheetView view="pageBreakPreview" zoomScaleSheetLayoutView="100" workbookViewId="0"/>
  </sheetViews>
  <sheetFormatPr defaultColWidth="9.140625" defaultRowHeight="11.25" x14ac:dyDescent="0.15"/>
  <cols>
    <col min="1" max="1" width="5.85546875" style="4" bestFit="1" customWidth="1"/>
    <col min="2" max="2" width="12.5703125" style="4" customWidth="1"/>
    <col min="3" max="3" width="50.42578125" style="4" customWidth="1"/>
    <col min="4" max="4" width="5" style="4" bestFit="1" customWidth="1"/>
    <col min="5" max="5" width="6.28515625" style="4" bestFit="1" customWidth="1"/>
    <col min="6" max="6" width="11.5703125" style="4" bestFit="1" customWidth="1"/>
    <col min="7" max="7" width="16.5703125" style="4" bestFit="1" customWidth="1"/>
    <col min="8" max="8" width="16.5703125" style="93" customWidth="1"/>
    <col min="9" max="9" width="9.140625" style="1"/>
    <col min="10" max="10" width="13.28515625" style="4" bestFit="1" customWidth="1"/>
    <col min="11" max="16384" width="9.140625" style="4"/>
  </cols>
  <sheetData>
    <row r="1" spans="1:11" ht="25.5" x14ac:dyDescent="0.15">
      <c r="A1" s="95" t="s">
        <v>0</v>
      </c>
      <c r="B1" s="96" t="s">
        <v>5</v>
      </c>
      <c r="C1" s="96" t="s">
        <v>2</v>
      </c>
      <c r="D1" s="96" t="s">
        <v>3</v>
      </c>
      <c r="E1" s="96" t="s">
        <v>13</v>
      </c>
      <c r="F1" s="97" t="s">
        <v>11</v>
      </c>
      <c r="G1" s="97" t="s">
        <v>12</v>
      </c>
      <c r="H1" s="50" t="s">
        <v>120</v>
      </c>
      <c r="I1" s="40" t="s">
        <v>17</v>
      </c>
      <c r="J1" s="42" t="s">
        <v>10</v>
      </c>
      <c r="K1" s="4" t="s">
        <v>258</v>
      </c>
    </row>
    <row r="2" spans="1:11" s="59" customFormat="1" ht="51" x14ac:dyDescent="0.2">
      <c r="A2" s="51">
        <v>1</v>
      </c>
      <c r="B2" s="51" t="s">
        <v>269</v>
      </c>
      <c r="C2" s="63" t="s">
        <v>382</v>
      </c>
      <c r="D2" s="54" t="s">
        <v>109</v>
      </c>
      <c r="E2" s="51">
        <v>2</v>
      </c>
      <c r="F2" s="55">
        <f>I2*88*1.32</f>
        <v>180048</v>
      </c>
      <c r="G2" s="56">
        <f t="shared" ref="G2" si="0">F2*E2</f>
        <v>360096</v>
      </c>
      <c r="H2" s="89"/>
      <c r="I2" s="89">
        <v>1550</v>
      </c>
      <c r="J2" s="94">
        <v>1418</v>
      </c>
    </row>
    <row r="3" spans="1:11" s="59" customFormat="1" ht="51" x14ac:dyDescent="0.2">
      <c r="A3" s="51">
        <v>2</v>
      </c>
      <c r="B3" s="51" t="s">
        <v>269</v>
      </c>
      <c r="C3" s="63" t="s">
        <v>383</v>
      </c>
      <c r="D3" s="54" t="s">
        <v>109</v>
      </c>
      <c r="E3" s="51">
        <v>3</v>
      </c>
      <c r="F3" s="55">
        <f t="shared" ref="F3:F4" si="1">I3*88*1.32</f>
        <v>284592</v>
      </c>
      <c r="G3" s="56">
        <f t="shared" ref="G3:G4" si="2">F3*E3</f>
        <v>853776</v>
      </c>
      <c r="H3" s="89"/>
      <c r="I3" s="89">
        <v>2450</v>
      </c>
      <c r="J3" s="94">
        <v>2300</v>
      </c>
    </row>
    <row r="4" spans="1:11" s="59" customFormat="1" ht="51" x14ac:dyDescent="0.2">
      <c r="A4" s="51">
        <v>3</v>
      </c>
      <c r="B4" s="51" t="s">
        <v>269</v>
      </c>
      <c r="C4" s="63" t="s">
        <v>384</v>
      </c>
      <c r="D4" s="54" t="s">
        <v>109</v>
      </c>
      <c r="E4" s="51">
        <v>1</v>
      </c>
      <c r="F4" s="55">
        <f t="shared" si="1"/>
        <v>342672</v>
      </c>
      <c r="G4" s="56">
        <f t="shared" si="2"/>
        <v>342672</v>
      </c>
      <c r="H4" s="89"/>
      <c r="I4" s="89">
        <v>2950</v>
      </c>
      <c r="J4" s="94">
        <v>2800</v>
      </c>
    </row>
    <row r="5" spans="1:11" ht="12.75" x14ac:dyDescent="0.15">
      <c r="A5" s="98">
        <v>4</v>
      </c>
      <c r="B5" s="337" t="s">
        <v>7</v>
      </c>
      <c r="C5" s="337"/>
      <c r="D5" s="337"/>
      <c r="E5" s="337"/>
      <c r="F5" s="337"/>
      <c r="G5" s="57">
        <f>G2+G4+G3</f>
        <v>1556544</v>
      </c>
      <c r="H5" s="90"/>
      <c r="I5" s="46"/>
      <c r="J5" s="47"/>
    </row>
    <row r="6" spans="1:11" ht="12.75" x14ac:dyDescent="0.15">
      <c r="A6" s="51">
        <v>5</v>
      </c>
      <c r="B6" s="337" t="s">
        <v>100</v>
      </c>
      <c r="C6" s="337"/>
      <c r="D6" s="337"/>
      <c r="E6" s="337"/>
      <c r="F6" s="337"/>
      <c r="G6" s="57">
        <f>G5*18%</f>
        <v>280177.91999999998</v>
      </c>
      <c r="H6" s="90"/>
    </row>
    <row r="7" spans="1:11" ht="12.75" x14ac:dyDescent="0.15">
      <c r="A7" s="51">
        <v>6</v>
      </c>
      <c r="B7" s="337" t="s">
        <v>8</v>
      </c>
      <c r="C7" s="337"/>
      <c r="D7" s="337"/>
      <c r="E7" s="337"/>
      <c r="F7" s="337"/>
      <c r="G7" s="57">
        <f>G6+G5</f>
        <v>1836721.92</v>
      </c>
      <c r="H7" s="90"/>
    </row>
    <row r="8" spans="1:11" ht="12.75" x14ac:dyDescent="0.15">
      <c r="A8" s="344"/>
      <c r="B8" s="345"/>
      <c r="C8" s="345"/>
      <c r="D8" s="345"/>
      <c r="E8" s="345"/>
      <c r="F8" s="345"/>
      <c r="G8" s="346"/>
      <c r="H8" s="91"/>
    </row>
    <row r="9" spans="1:11" ht="140.25" x14ac:dyDescent="0.15">
      <c r="A9" s="58" t="s">
        <v>9</v>
      </c>
      <c r="B9" s="335" t="s">
        <v>381</v>
      </c>
      <c r="C9" s="335"/>
      <c r="D9" s="335"/>
      <c r="E9" s="335"/>
      <c r="F9" s="335"/>
      <c r="G9" s="336"/>
      <c r="H9" s="88"/>
    </row>
    <row r="10" spans="1:11" ht="12.75" x14ac:dyDescent="0.2">
      <c r="A10" s="59"/>
      <c r="B10" s="59"/>
      <c r="C10" s="59"/>
      <c r="D10" s="59"/>
      <c r="E10" s="59"/>
      <c r="F10" s="59"/>
      <c r="G10" s="59"/>
      <c r="H10" s="92"/>
    </row>
    <row r="11" spans="1:11" ht="12.75" x14ac:dyDescent="0.2">
      <c r="A11" s="59"/>
      <c r="B11" s="59"/>
      <c r="C11" s="59"/>
      <c r="D11" s="59"/>
      <c r="E11" s="59"/>
      <c r="F11" s="59"/>
      <c r="G11" s="59"/>
      <c r="H11" s="92"/>
    </row>
    <row r="12" spans="1:11" ht="12.75" x14ac:dyDescent="0.2">
      <c r="A12" s="59"/>
      <c r="B12" s="59"/>
      <c r="C12" s="59"/>
      <c r="D12" s="59"/>
      <c r="E12" s="59"/>
      <c r="F12" s="59"/>
      <c r="G12" s="59"/>
      <c r="H12" s="92"/>
    </row>
    <row r="13" spans="1:11" ht="12.75" x14ac:dyDescent="0.2">
      <c r="A13" s="59"/>
      <c r="B13" s="59"/>
      <c r="C13" s="59"/>
      <c r="D13" s="59"/>
      <c r="E13" s="59"/>
      <c r="F13" s="59"/>
      <c r="G13" s="59"/>
      <c r="H13" s="92"/>
    </row>
    <row r="14" spans="1:11" ht="12.75" x14ac:dyDescent="0.2">
      <c r="A14" s="59"/>
      <c r="B14" s="59"/>
      <c r="C14" s="59"/>
      <c r="D14" s="59"/>
      <c r="E14" s="59"/>
      <c r="F14" s="59"/>
      <c r="G14" s="59"/>
      <c r="H14" s="92"/>
    </row>
    <row r="15" spans="1:11" ht="12.75" x14ac:dyDescent="0.2">
      <c r="A15" s="59"/>
      <c r="B15" s="59"/>
      <c r="C15" s="59"/>
      <c r="D15" s="59"/>
      <c r="E15" s="59"/>
      <c r="F15" s="59"/>
      <c r="G15" s="59"/>
      <c r="H15" s="92"/>
    </row>
    <row r="16" spans="1:11" s="1" customFormat="1" ht="12.75" x14ac:dyDescent="0.2">
      <c r="A16" s="59"/>
      <c r="B16" s="59"/>
      <c r="C16" s="59"/>
      <c r="D16" s="59"/>
      <c r="E16" s="59"/>
      <c r="F16" s="59"/>
      <c r="G16" s="59"/>
      <c r="H16" s="92"/>
      <c r="J16" s="4"/>
    </row>
  </sheetData>
  <mergeCells count="5">
    <mergeCell ref="B5:F5"/>
    <mergeCell ref="B6:F6"/>
    <mergeCell ref="B7:F7"/>
    <mergeCell ref="A8:G8"/>
    <mergeCell ref="B9:G9"/>
  </mergeCells>
  <printOptions horizontalCentered="1"/>
  <pageMargins left="0.25" right="0.25" top="0.5" bottom="0.5" header="0.3" footer="0.05"/>
  <pageSetup orientation="landscape" horizontalDpi="4294967292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K15"/>
  <sheetViews>
    <sheetView view="pageBreakPreview" zoomScaleSheetLayoutView="100" workbookViewId="0">
      <selection activeCell="H8" sqref="H8"/>
    </sheetView>
  </sheetViews>
  <sheetFormatPr defaultColWidth="9.140625" defaultRowHeight="11.25" x14ac:dyDescent="0.15"/>
  <cols>
    <col min="1" max="1" width="5.85546875" style="4" bestFit="1" customWidth="1"/>
    <col min="2" max="2" width="12.5703125" style="4" customWidth="1"/>
    <col min="3" max="3" width="50.42578125" style="4" customWidth="1"/>
    <col min="4" max="4" width="5" style="4" bestFit="1" customWidth="1"/>
    <col min="5" max="5" width="6.28515625" style="4" bestFit="1" customWidth="1"/>
    <col min="6" max="6" width="11.5703125" style="4" bestFit="1" customWidth="1"/>
    <col min="7" max="7" width="16.5703125" style="4" bestFit="1" customWidth="1"/>
    <col min="8" max="8" width="16.5703125" style="93" customWidth="1"/>
    <col min="9" max="9" width="9.140625" style="1"/>
    <col min="10" max="10" width="13.28515625" style="4" bestFit="1" customWidth="1"/>
    <col min="11" max="16384" width="9.140625" style="4"/>
  </cols>
  <sheetData>
    <row r="1" spans="1:11" ht="25.5" x14ac:dyDescent="0.15">
      <c r="A1" s="95" t="s">
        <v>0</v>
      </c>
      <c r="B1" s="96" t="s">
        <v>5</v>
      </c>
      <c r="C1" s="96" t="s">
        <v>2</v>
      </c>
      <c r="D1" s="96" t="s">
        <v>3</v>
      </c>
      <c r="E1" s="96" t="s">
        <v>13</v>
      </c>
      <c r="F1" s="97" t="s">
        <v>11</v>
      </c>
      <c r="G1" s="97" t="s">
        <v>12</v>
      </c>
      <c r="H1" s="50" t="s">
        <v>120</v>
      </c>
      <c r="I1" s="40" t="s">
        <v>17</v>
      </c>
      <c r="J1" s="42" t="s">
        <v>10</v>
      </c>
      <c r="K1" s="4" t="s">
        <v>258</v>
      </c>
    </row>
    <row r="2" spans="1:11" s="59" customFormat="1" ht="51" x14ac:dyDescent="0.2">
      <c r="A2" s="51">
        <v>1</v>
      </c>
      <c r="B2" s="51">
        <v>4000011745</v>
      </c>
      <c r="C2" s="63" t="s">
        <v>385</v>
      </c>
      <c r="D2" s="54" t="s">
        <v>109</v>
      </c>
      <c r="E2" s="51">
        <v>2</v>
      </c>
      <c r="F2" s="55">
        <f>I2*88*1.32</f>
        <v>99897.600000000006</v>
      </c>
      <c r="G2" s="56">
        <f t="shared" ref="G2:G3" si="0">F2*E2</f>
        <v>199795.20000000001</v>
      </c>
      <c r="H2" s="89"/>
      <c r="I2" s="89">
        <v>860</v>
      </c>
      <c r="J2" s="94">
        <v>565</v>
      </c>
    </row>
    <row r="3" spans="1:11" s="59" customFormat="1" ht="12.75" x14ac:dyDescent="0.2">
      <c r="A3" s="51">
        <v>2</v>
      </c>
      <c r="B3" s="51">
        <v>4000012569</v>
      </c>
      <c r="C3" s="63" t="s">
        <v>386</v>
      </c>
      <c r="D3" s="54" t="s">
        <v>109</v>
      </c>
      <c r="E3" s="51">
        <v>2</v>
      </c>
      <c r="F3" s="55">
        <f t="shared" ref="F3" si="1">I3*88*1.32</f>
        <v>174240</v>
      </c>
      <c r="G3" s="56">
        <f t="shared" si="0"/>
        <v>348480</v>
      </c>
      <c r="H3" s="89"/>
      <c r="I3" s="89">
        <v>1500</v>
      </c>
      <c r="J3" s="94">
        <v>1450</v>
      </c>
    </row>
    <row r="4" spans="1:11" ht="12.75" x14ac:dyDescent="0.15">
      <c r="A4" s="51">
        <v>3</v>
      </c>
      <c r="B4" s="337" t="s">
        <v>7</v>
      </c>
      <c r="C4" s="337"/>
      <c r="D4" s="337"/>
      <c r="E4" s="337"/>
      <c r="F4" s="337"/>
      <c r="G4" s="57">
        <f>G2+G3</f>
        <v>548275.19999999995</v>
      </c>
      <c r="H4" s="90"/>
      <c r="I4" s="46"/>
      <c r="J4" s="47"/>
    </row>
    <row r="5" spans="1:11" ht="12.75" x14ac:dyDescent="0.15">
      <c r="A5" s="51">
        <v>4</v>
      </c>
      <c r="B5" s="337" t="s">
        <v>100</v>
      </c>
      <c r="C5" s="337"/>
      <c r="D5" s="337"/>
      <c r="E5" s="337"/>
      <c r="F5" s="337"/>
      <c r="G5" s="57">
        <f>G4*18%</f>
        <v>98689.535999999993</v>
      </c>
      <c r="H5" s="90"/>
    </row>
    <row r="6" spans="1:11" ht="12.75" x14ac:dyDescent="0.15">
      <c r="A6" s="51">
        <v>5</v>
      </c>
      <c r="B6" s="337" t="s">
        <v>8</v>
      </c>
      <c r="C6" s="337"/>
      <c r="D6" s="337"/>
      <c r="E6" s="337"/>
      <c r="F6" s="337"/>
      <c r="G6" s="57">
        <f>G5+G4</f>
        <v>646964.73599999992</v>
      </c>
      <c r="H6" s="90"/>
    </row>
    <row r="7" spans="1:11" ht="12.75" x14ac:dyDescent="0.15">
      <c r="A7" s="344"/>
      <c r="B7" s="345"/>
      <c r="C7" s="345"/>
      <c r="D7" s="345"/>
      <c r="E7" s="345"/>
      <c r="F7" s="345"/>
      <c r="G7" s="346"/>
      <c r="H7" s="91"/>
    </row>
    <row r="8" spans="1:11" ht="140.25" x14ac:dyDescent="0.15">
      <c r="A8" s="58" t="s">
        <v>9</v>
      </c>
      <c r="B8" s="335" t="s">
        <v>381</v>
      </c>
      <c r="C8" s="335"/>
      <c r="D8" s="335"/>
      <c r="E8" s="335"/>
      <c r="F8" s="335"/>
      <c r="G8" s="336"/>
      <c r="H8" s="88"/>
    </row>
    <row r="9" spans="1:11" ht="12.75" x14ac:dyDescent="0.2">
      <c r="A9" s="59"/>
      <c r="B9" s="59"/>
      <c r="C9" s="59"/>
      <c r="D9" s="59"/>
      <c r="E9" s="59"/>
      <c r="F9" s="59"/>
      <c r="G9" s="59"/>
      <c r="H9" s="92"/>
    </row>
    <row r="10" spans="1:11" ht="12.75" x14ac:dyDescent="0.2">
      <c r="A10" s="59"/>
      <c r="B10" s="59"/>
      <c r="C10" s="59"/>
      <c r="D10" s="59"/>
      <c r="E10" s="59"/>
      <c r="F10" s="59"/>
      <c r="G10" s="59"/>
      <c r="H10" s="92"/>
    </row>
    <row r="11" spans="1:11" ht="12.75" x14ac:dyDescent="0.2">
      <c r="A11" s="59"/>
      <c r="B11" s="59"/>
      <c r="C11" s="59"/>
      <c r="D11" s="59"/>
      <c r="E11" s="59"/>
      <c r="F11" s="59"/>
      <c r="G11" s="59"/>
      <c r="H11" s="92"/>
    </row>
    <row r="12" spans="1:11" ht="12.75" x14ac:dyDescent="0.2">
      <c r="A12" s="59"/>
      <c r="B12" s="59"/>
      <c r="C12" s="59"/>
      <c r="D12" s="59"/>
      <c r="E12" s="59"/>
      <c r="F12" s="59"/>
      <c r="G12" s="59"/>
      <c r="H12" s="92"/>
    </row>
    <row r="13" spans="1:11" ht="12.75" x14ac:dyDescent="0.2">
      <c r="A13" s="59"/>
      <c r="B13" s="59"/>
      <c r="C13" s="59"/>
      <c r="D13" s="59"/>
      <c r="E13" s="59"/>
      <c r="F13" s="59"/>
      <c r="G13" s="59"/>
      <c r="H13" s="92"/>
    </row>
    <row r="14" spans="1:11" ht="12.75" x14ac:dyDescent="0.2">
      <c r="A14" s="59"/>
      <c r="B14" s="59"/>
      <c r="C14" s="59"/>
      <c r="D14" s="59"/>
      <c r="E14" s="59"/>
      <c r="F14" s="59"/>
      <c r="G14" s="59"/>
      <c r="H14" s="92"/>
    </row>
    <row r="15" spans="1:11" s="1" customFormat="1" ht="12.75" x14ac:dyDescent="0.2">
      <c r="A15" s="59"/>
      <c r="B15" s="59"/>
      <c r="C15" s="59"/>
      <c r="D15" s="59"/>
      <c r="E15" s="59"/>
      <c r="F15" s="59"/>
      <c r="G15" s="59"/>
      <c r="H15" s="92"/>
      <c r="J15" s="4"/>
    </row>
  </sheetData>
  <mergeCells count="5">
    <mergeCell ref="B4:F4"/>
    <mergeCell ref="B5:F5"/>
    <mergeCell ref="B6:F6"/>
    <mergeCell ref="A7:G7"/>
    <mergeCell ref="B8:G8"/>
  </mergeCells>
  <printOptions horizontalCentered="1"/>
  <pageMargins left="0.25" right="0.25" top="0.5" bottom="0.5" header="0.3" footer="0.05"/>
  <pageSetup orientation="landscape" horizontalDpi="4294967292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K14"/>
  <sheetViews>
    <sheetView view="pageBreakPreview" zoomScaleSheetLayoutView="100" workbookViewId="0">
      <selection activeCell="C2" sqref="C2"/>
    </sheetView>
  </sheetViews>
  <sheetFormatPr defaultColWidth="9.140625" defaultRowHeight="11.25" x14ac:dyDescent="0.15"/>
  <cols>
    <col min="1" max="1" width="5.85546875" style="4" bestFit="1" customWidth="1"/>
    <col min="2" max="2" width="12.5703125" style="4" customWidth="1"/>
    <col min="3" max="3" width="50.42578125" style="4" customWidth="1"/>
    <col min="4" max="4" width="5" style="4" bestFit="1" customWidth="1"/>
    <col min="5" max="5" width="6.28515625" style="4" bestFit="1" customWidth="1"/>
    <col min="6" max="6" width="11.5703125" style="4" bestFit="1" customWidth="1"/>
    <col min="7" max="7" width="16.5703125" style="4" bestFit="1" customWidth="1"/>
    <col min="8" max="8" width="16.5703125" style="93" customWidth="1"/>
    <col min="9" max="9" width="9.140625" style="1"/>
    <col min="10" max="10" width="13.28515625" style="4" bestFit="1" customWidth="1"/>
    <col min="11" max="16384" width="9.140625" style="4"/>
  </cols>
  <sheetData>
    <row r="1" spans="1:11" ht="25.5" x14ac:dyDescent="0.15">
      <c r="A1" s="95" t="s">
        <v>0</v>
      </c>
      <c r="B1" s="96" t="s">
        <v>5</v>
      </c>
      <c r="C1" s="96" t="s">
        <v>2</v>
      </c>
      <c r="D1" s="96" t="s">
        <v>3</v>
      </c>
      <c r="E1" s="96" t="s">
        <v>13</v>
      </c>
      <c r="F1" s="97" t="s">
        <v>11</v>
      </c>
      <c r="G1" s="97" t="s">
        <v>12</v>
      </c>
      <c r="H1" s="50" t="s">
        <v>120</v>
      </c>
      <c r="I1" s="40" t="s">
        <v>347</v>
      </c>
      <c r="J1" s="42" t="s">
        <v>110</v>
      </c>
      <c r="K1" s="4" t="s">
        <v>258</v>
      </c>
    </row>
    <row r="2" spans="1:11" s="59" customFormat="1" ht="38.25" x14ac:dyDescent="0.2">
      <c r="A2" s="51">
        <v>1</v>
      </c>
      <c r="B2" s="51">
        <v>4000012477</v>
      </c>
      <c r="C2" s="63" t="s">
        <v>387</v>
      </c>
      <c r="D2" s="54" t="s">
        <v>109</v>
      </c>
      <c r="E2" s="51">
        <v>2</v>
      </c>
      <c r="F2" s="55">
        <f>I2*88*1.32</f>
        <v>437690.88</v>
      </c>
      <c r="G2" s="56">
        <f t="shared" ref="G2" si="0">F2*E2</f>
        <v>875381.76000000001</v>
      </c>
      <c r="H2" s="89"/>
      <c r="I2" s="89">
        <v>3768</v>
      </c>
      <c r="J2" s="94">
        <v>5325</v>
      </c>
    </row>
    <row r="3" spans="1:11" ht="12.75" x14ac:dyDescent="0.15">
      <c r="A3" s="51">
        <v>2</v>
      </c>
      <c r="B3" s="337" t="s">
        <v>7</v>
      </c>
      <c r="C3" s="337"/>
      <c r="D3" s="337"/>
      <c r="E3" s="337"/>
      <c r="F3" s="337"/>
      <c r="G3" s="57">
        <f>G2</f>
        <v>875381.76000000001</v>
      </c>
      <c r="H3" s="90"/>
      <c r="I3" s="46"/>
      <c r="J3" s="47"/>
    </row>
    <row r="4" spans="1:11" ht="12.75" x14ac:dyDescent="0.15">
      <c r="A4" s="51">
        <v>3</v>
      </c>
      <c r="B4" s="337" t="s">
        <v>388</v>
      </c>
      <c r="C4" s="337"/>
      <c r="D4" s="337"/>
      <c r="E4" s="337"/>
      <c r="F4" s="337"/>
      <c r="G4" s="57">
        <f>G3*18%</f>
        <v>157568.71679999999</v>
      </c>
      <c r="H4" s="90"/>
    </row>
    <row r="5" spans="1:11" ht="12.75" x14ac:dyDescent="0.15">
      <c r="A5" s="51">
        <v>4</v>
      </c>
      <c r="B5" s="337" t="s">
        <v>8</v>
      </c>
      <c r="C5" s="337"/>
      <c r="D5" s="337"/>
      <c r="E5" s="337"/>
      <c r="F5" s="337"/>
      <c r="G5" s="57">
        <f>G4+G3</f>
        <v>1032950.4768000001</v>
      </c>
      <c r="H5" s="90"/>
    </row>
    <row r="6" spans="1:11" ht="12.75" x14ac:dyDescent="0.15">
      <c r="A6" s="344"/>
      <c r="B6" s="345"/>
      <c r="C6" s="345"/>
      <c r="D6" s="345"/>
      <c r="E6" s="345"/>
      <c r="F6" s="345"/>
      <c r="G6" s="346"/>
      <c r="H6" s="91"/>
    </row>
    <row r="7" spans="1:11" ht="140.25" x14ac:dyDescent="0.15">
      <c r="A7" s="58" t="s">
        <v>9</v>
      </c>
      <c r="B7" s="335" t="s">
        <v>381</v>
      </c>
      <c r="C7" s="335"/>
      <c r="D7" s="335"/>
      <c r="E7" s="335"/>
      <c r="F7" s="335"/>
      <c r="G7" s="336"/>
      <c r="H7" s="88"/>
    </row>
    <row r="8" spans="1:11" ht="12.75" x14ac:dyDescent="0.2">
      <c r="A8" s="59"/>
      <c r="B8" s="59"/>
      <c r="C8" s="59"/>
      <c r="D8" s="59"/>
      <c r="E8" s="59"/>
      <c r="F8" s="59"/>
      <c r="G8" s="59"/>
      <c r="H8" s="92"/>
    </row>
    <row r="9" spans="1:11" ht="12.75" x14ac:dyDescent="0.2">
      <c r="A9" s="59"/>
      <c r="B9" s="59"/>
      <c r="C9" s="59"/>
      <c r="D9" s="59"/>
      <c r="E9" s="59"/>
      <c r="F9" s="59"/>
      <c r="G9" s="59"/>
      <c r="H9" s="92"/>
    </row>
    <row r="10" spans="1:11" ht="12.75" x14ac:dyDescent="0.2">
      <c r="A10" s="59"/>
      <c r="B10" s="59"/>
      <c r="C10" s="59"/>
      <c r="D10" s="59"/>
      <c r="E10" s="59"/>
      <c r="F10" s="59"/>
      <c r="G10" s="59"/>
      <c r="H10" s="92"/>
    </row>
    <row r="11" spans="1:11" ht="12.75" x14ac:dyDescent="0.2">
      <c r="A11" s="59"/>
      <c r="B11" s="59"/>
      <c r="C11" s="59"/>
      <c r="D11" s="59"/>
      <c r="E11" s="59"/>
      <c r="F11" s="59"/>
      <c r="G11" s="59"/>
      <c r="H11" s="92"/>
    </row>
    <row r="12" spans="1:11" ht="12.75" x14ac:dyDescent="0.2">
      <c r="A12" s="59"/>
      <c r="B12" s="59"/>
      <c r="C12" s="59"/>
      <c r="D12" s="59"/>
      <c r="E12" s="59"/>
      <c r="F12" s="59"/>
      <c r="G12" s="59"/>
      <c r="H12" s="92"/>
    </row>
    <row r="13" spans="1:11" ht="12.75" x14ac:dyDescent="0.2">
      <c r="A13" s="59"/>
      <c r="B13" s="59"/>
      <c r="C13" s="59"/>
      <c r="D13" s="59"/>
      <c r="E13" s="59"/>
      <c r="F13" s="59"/>
      <c r="G13" s="59"/>
      <c r="H13" s="92"/>
    </row>
    <row r="14" spans="1:11" s="1" customFormat="1" ht="12.75" x14ac:dyDescent="0.2">
      <c r="A14" s="59"/>
      <c r="B14" s="59"/>
      <c r="C14" s="59"/>
      <c r="D14" s="59"/>
      <c r="E14" s="59"/>
      <c r="F14" s="59"/>
      <c r="G14" s="59"/>
      <c r="H14" s="92"/>
      <c r="J14" s="4"/>
    </row>
  </sheetData>
  <mergeCells count="5">
    <mergeCell ref="B3:F3"/>
    <mergeCell ref="B4:F4"/>
    <mergeCell ref="B5:F5"/>
    <mergeCell ref="A6:G6"/>
    <mergeCell ref="B7:G7"/>
  </mergeCells>
  <printOptions horizontalCentered="1"/>
  <pageMargins left="0.25" right="0.25" top="0.5" bottom="0.5" header="0.3" footer="0.05"/>
  <pageSetup orientation="landscape" horizontalDpi="4294967292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K16"/>
  <sheetViews>
    <sheetView view="pageBreakPreview" topLeftCell="A5" zoomScaleSheetLayoutView="100" workbookViewId="0">
      <selection activeCell="G14" sqref="G14"/>
    </sheetView>
  </sheetViews>
  <sheetFormatPr defaultColWidth="9.140625" defaultRowHeight="11.25" x14ac:dyDescent="0.15"/>
  <cols>
    <col min="1" max="1" width="5.85546875" style="4" bestFit="1" customWidth="1"/>
    <col min="2" max="2" width="12.5703125" style="4" customWidth="1"/>
    <col min="3" max="3" width="50.42578125" style="4" customWidth="1"/>
    <col min="4" max="4" width="5" style="4" bestFit="1" customWidth="1"/>
    <col min="5" max="5" width="6.28515625" style="4" bestFit="1" customWidth="1"/>
    <col min="6" max="6" width="11.5703125" style="4" bestFit="1" customWidth="1"/>
    <col min="7" max="7" width="16.5703125" style="4" bestFit="1" customWidth="1"/>
    <col min="8" max="8" width="16.5703125" style="93" customWidth="1"/>
    <col min="9" max="9" width="9.140625" style="1"/>
    <col min="10" max="10" width="13.28515625" style="4" bestFit="1" customWidth="1"/>
    <col min="11" max="16384" width="9.140625" style="4"/>
  </cols>
  <sheetData>
    <row r="1" spans="1:11" ht="25.5" x14ac:dyDescent="0.15">
      <c r="A1" s="95" t="s">
        <v>0</v>
      </c>
      <c r="B1" s="96" t="s">
        <v>5</v>
      </c>
      <c r="C1" s="96" t="s">
        <v>2</v>
      </c>
      <c r="D1" s="96" t="s">
        <v>3</v>
      </c>
      <c r="E1" s="96" t="s">
        <v>13</v>
      </c>
      <c r="F1" s="97" t="s">
        <v>11</v>
      </c>
      <c r="G1" s="97" t="s">
        <v>12</v>
      </c>
      <c r="H1" s="50" t="s">
        <v>120</v>
      </c>
      <c r="I1" s="40" t="s">
        <v>17</v>
      </c>
      <c r="J1" s="42" t="s">
        <v>110</v>
      </c>
      <c r="K1" s="4" t="s">
        <v>258</v>
      </c>
    </row>
    <row r="2" spans="1:11" s="59" customFormat="1" ht="51" x14ac:dyDescent="0.2">
      <c r="A2" s="51">
        <v>1</v>
      </c>
      <c r="B2" s="51">
        <v>5702000043</v>
      </c>
      <c r="C2" s="63" t="s">
        <v>389</v>
      </c>
      <c r="D2" s="54" t="s">
        <v>109</v>
      </c>
      <c r="E2" s="51">
        <v>6</v>
      </c>
      <c r="F2" s="55">
        <f t="shared" ref="F2:F3" si="0">I2*88*1.32</f>
        <v>12777.6</v>
      </c>
      <c r="G2" s="56">
        <f t="shared" ref="G2:G3" si="1">F2*E2</f>
        <v>76665.600000000006</v>
      </c>
      <c r="H2" s="89"/>
      <c r="I2" s="89">
        <v>110</v>
      </c>
      <c r="J2" s="94">
        <v>74</v>
      </c>
    </row>
    <row r="3" spans="1:11" s="59" customFormat="1" ht="51" x14ac:dyDescent="0.2">
      <c r="A3" s="51">
        <v>2</v>
      </c>
      <c r="B3" s="51">
        <v>5702000044</v>
      </c>
      <c r="C3" s="63" t="s">
        <v>390</v>
      </c>
      <c r="D3" s="54" t="s">
        <v>109</v>
      </c>
      <c r="E3" s="51">
        <v>6</v>
      </c>
      <c r="F3" s="55">
        <f t="shared" si="0"/>
        <v>11616</v>
      </c>
      <c r="G3" s="56">
        <f t="shared" si="1"/>
        <v>69696</v>
      </c>
      <c r="H3" s="89"/>
      <c r="I3" s="89">
        <v>100</v>
      </c>
      <c r="J3" s="94">
        <v>67</v>
      </c>
    </row>
    <row r="4" spans="1:11" s="59" customFormat="1" ht="51" x14ac:dyDescent="0.2">
      <c r="A4" s="51">
        <v>3</v>
      </c>
      <c r="B4" s="51">
        <v>5702000045</v>
      </c>
      <c r="C4" s="63" t="s">
        <v>391</v>
      </c>
      <c r="D4" s="54" t="s">
        <v>109</v>
      </c>
      <c r="E4" s="51">
        <v>6</v>
      </c>
      <c r="F4" s="55">
        <f>I4*88*1.32</f>
        <v>10454.4</v>
      </c>
      <c r="G4" s="56">
        <f t="shared" ref="G4" si="2">F4*E4</f>
        <v>62726.399999999994</v>
      </c>
      <c r="H4" s="89"/>
      <c r="I4" s="89">
        <v>90</v>
      </c>
      <c r="J4" s="94">
        <v>53</v>
      </c>
    </row>
    <row r="5" spans="1:11" ht="12.75" x14ac:dyDescent="0.15">
      <c r="A5" s="51">
        <v>4</v>
      </c>
      <c r="B5" s="337" t="s">
        <v>7</v>
      </c>
      <c r="C5" s="337"/>
      <c r="D5" s="337"/>
      <c r="E5" s="337"/>
      <c r="F5" s="337"/>
      <c r="G5" s="57">
        <f>SUM(G2:G4)</f>
        <v>209088</v>
      </c>
      <c r="H5" s="90"/>
      <c r="I5" s="46"/>
      <c r="J5" s="47"/>
    </row>
    <row r="6" spans="1:11" ht="12.75" x14ac:dyDescent="0.15">
      <c r="A6" s="51">
        <v>5</v>
      </c>
      <c r="B6" s="337" t="s">
        <v>388</v>
      </c>
      <c r="C6" s="337"/>
      <c r="D6" s="337"/>
      <c r="E6" s="337"/>
      <c r="F6" s="337"/>
      <c r="G6" s="57">
        <f>G5*18%</f>
        <v>37635.839999999997</v>
      </c>
      <c r="H6" s="90"/>
    </row>
    <row r="7" spans="1:11" ht="12.75" x14ac:dyDescent="0.15">
      <c r="A7" s="51">
        <v>6</v>
      </c>
      <c r="B7" s="337" t="s">
        <v>8</v>
      </c>
      <c r="C7" s="337"/>
      <c r="D7" s="337"/>
      <c r="E7" s="337"/>
      <c r="F7" s="337"/>
      <c r="G7" s="57">
        <f>G6+G5</f>
        <v>246723.84</v>
      </c>
      <c r="H7" s="90"/>
    </row>
    <row r="8" spans="1:11" ht="12.75" x14ac:dyDescent="0.15">
      <c r="A8" s="344"/>
      <c r="B8" s="345"/>
      <c r="C8" s="345"/>
      <c r="D8" s="345"/>
      <c r="E8" s="345"/>
      <c r="F8" s="345"/>
      <c r="G8" s="346"/>
      <c r="H8" s="91"/>
    </row>
    <row r="9" spans="1:11" ht="140.25" x14ac:dyDescent="0.15">
      <c r="A9" s="58" t="s">
        <v>9</v>
      </c>
      <c r="B9" s="335" t="s">
        <v>381</v>
      </c>
      <c r="C9" s="335"/>
      <c r="D9" s="335"/>
      <c r="E9" s="335"/>
      <c r="F9" s="335"/>
      <c r="G9" s="336"/>
      <c r="H9" s="88"/>
    </row>
    <row r="10" spans="1:11" ht="12.75" x14ac:dyDescent="0.2">
      <c r="A10" s="59"/>
      <c r="B10" s="59"/>
      <c r="C10" s="59"/>
      <c r="D10" s="59"/>
      <c r="E10" s="59"/>
      <c r="F10" s="59"/>
      <c r="G10" s="59"/>
      <c r="H10" s="92"/>
    </row>
    <row r="11" spans="1:11" ht="12.75" x14ac:dyDescent="0.2">
      <c r="A11" s="59"/>
      <c r="B11" s="59"/>
      <c r="C11" s="59"/>
      <c r="D11" s="59"/>
      <c r="E11" s="59"/>
      <c r="F11" s="59"/>
      <c r="G11" s="59"/>
      <c r="H11" s="92"/>
    </row>
    <row r="12" spans="1:11" ht="12.75" x14ac:dyDescent="0.2">
      <c r="A12" s="59"/>
      <c r="B12" s="59"/>
      <c r="C12" s="59"/>
      <c r="D12" s="59"/>
      <c r="E12" s="59"/>
      <c r="F12" s="59"/>
      <c r="G12" s="59"/>
      <c r="H12" s="92"/>
    </row>
    <row r="13" spans="1:11" ht="12.75" x14ac:dyDescent="0.2">
      <c r="A13" s="59"/>
      <c r="B13" s="59"/>
      <c r="C13" s="59"/>
      <c r="D13" s="59"/>
      <c r="E13" s="59"/>
      <c r="F13" s="59"/>
      <c r="G13" s="59"/>
      <c r="H13" s="92"/>
    </row>
    <row r="14" spans="1:11" ht="12.75" x14ac:dyDescent="0.2">
      <c r="A14" s="59"/>
      <c r="B14" s="59"/>
      <c r="C14" s="59"/>
      <c r="D14" s="59"/>
      <c r="E14" s="59"/>
      <c r="F14" s="59"/>
      <c r="G14" s="59"/>
      <c r="H14" s="92"/>
    </row>
    <row r="15" spans="1:11" ht="12.75" x14ac:dyDescent="0.2">
      <c r="A15" s="59"/>
      <c r="B15" s="59"/>
      <c r="C15" s="59"/>
      <c r="D15" s="59"/>
      <c r="E15" s="59"/>
      <c r="F15" s="59"/>
      <c r="G15" s="59"/>
      <c r="H15" s="92"/>
    </row>
    <row r="16" spans="1:11" s="1" customFormat="1" ht="12.75" x14ac:dyDescent="0.2">
      <c r="A16" s="59"/>
      <c r="B16" s="59"/>
      <c r="C16" s="59"/>
      <c r="D16" s="59"/>
      <c r="E16" s="59"/>
      <c r="F16" s="59"/>
      <c r="G16" s="59"/>
      <c r="H16" s="92"/>
      <c r="J16" s="4"/>
    </row>
  </sheetData>
  <mergeCells count="5">
    <mergeCell ref="B5:F5"/>
    <mergeCell ref="B6:F6"/>
    <mergeCell ref="B7:F7"/>
    <mergeCell ref="A8:G8"/>
    <mergeCell ref="B9:G9"/>
  </mergeCells>
  <printOptions horizontalCentered="1"/>
  <pageMargins left="0.25" right="0.25" top="0.5" bottom="0.5" header="0.3" footer="0.05"/>
  <pageSetup orientation="landscape" horizontalDpi="4294967292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K14"/>
  <sheetViews>
    <sheetView view="pageBreakPreview" zoomScaleSheetLayoutView="100" workbookViewId="0">
      <selection sqref="A1:G7"/>
    </sheetView>
  </sheetViews>
  <sheetFormatPr defaultColWidth="9.140625" defaultRowHeight="11.25" x14ac:dyDescent="0.15"/>
  <cols>
    <col min="1" max="1" width="5.85546875" style="4" bestFit="1" customWidth="1"/>
    <col min="2" max="2" width="12.5703125" style="4" customWidth="1"/>
    <col min="3" max="3" width="50.42578125" style="4" customWidth="1"/>
    <col min="4" max="4" width="5" style="4" bestFit="1" customWidth="1"/>
    <col min="5" max="5" width="6.28515625" style="4" bestFit="1" customWidth="1"/>
    <col min="6" max="6" width="11.5703125" style="4" bestFit="1" customWidth="1"/>
    <col min="7" max="7" width="16.5703125" style="4" bestFit="1" customWidth="1"/>
    <col min="8" max="8" width="16.5703125" style="93" customWidth="1"/>
    <col min="9" max="9" width="9.140625" style="1"/>
    <col min="10" max="10" width="13.28515625" style="4" bestFit="1" customWidth="1"/>
    <col min="11" max="16384" width="9.140625" style="4"/>
  </cols>
  <sheetData>
    <row r="1" spans="1:11" ht="25.5" x14ac:dyDescent="0.15">
      <c r="A1" s="95" t="s">
        <v>0</v>
      </c>
      <c r="B1" s="96" t="s">
        <v>5</v>
      </c>
      <c r="C1" s="96" t="s">
        <v>2</v>
      </c>
      <c r="D1" s="96" t="s">
        <v>3</v>
      </c>
      <c r="E1" s="96" t="s">
        <v>13</v>
      </c>
      <c r="F1" s="97" t="s">
        <v>11</v>
      </c>
      <c r="G1" s="97" t="s">
        <v>12</v>
      </c>
      <c r="H1" s="50" t="s">
        <v>17</v>
      </c>
      <c r="I1" s="40"/>
      <c r="J1" s="42" t="s">
        <v>14</v>
      </c>
      <c r="K1" s="4" t="s">
        <v>258</v>
      </c>
    </row>
    <row r="2" spans="1:11" s="59" customFormat="1" ht="38.25" x14ac:dyDescent="0.2">
      <c r="A2" s="51">
        <v>1</v>
      </c>
      <c r="B2" s="51">
        <v>4000012483</v>
      </c>
      <c r="C2" s="63" t="s">
        <v>392</v>
      </c>
      <c r="D2" s="54" t="s">
        <v>109</v>
      </c>
      <c r="E2" s="51">
        <v>1</v>
      </c>
      <c r="F2" s="55">
        <f>H2*88*1.33</f>
        <v>456456</v>
      </c>
      <c r="G2" s="56">
        <f t="shared" ref="G2" si="0">F2*E2</f>
        <v>456456</v>
      </c>
      <c r="H2" s="89">
        <v>3900</v>
      </c>
      <c r="I2" s="89"/>
      <c r="J2" s="94">
        <f>24095/6.5</f>
        <v>3706.9230769230771</v>
      </c>
    </row>
    <row r="3" spans="1:11" ht="12.75" x14ac:dyDescent="0.15">
      <c r="A3" s="51">
        <v>2</v>
      </c>
      <c r="B3" s="337" t="s">
        <v>7</v>
      </c>
      <c r="C3" s="337"/>
      <c r="D3" s="337"/>
      <c r="E3" s="337"/>
      <c r="F3" s="337"/>
      <c r="G3" s="57">
        <f>G2</f>
        <v>456456</v>
      </c>
      <c r="H3" s="90"/>
      <c r="I3" s="46"/>
      <c r="J3" s="47"/>
    </row>
    <row r="4" spans="1:11" ht="12.75" x14ac:dyDescent="0.15">
      <c r="A4" s="51">
        <v>3</v>
      </c>
      <c r="B4" s="337" t="s">
        <v>388</v>
      </c>
      <c r="C4" s="337"/>
      <c r="D4" s="337"/>
      <c r="E4" s="337"/>
      <c r="F4" s="337"/>
      <c r="G4" s="57">
        <f>G3*18%</f>
        <v>82162.080000000002</v>
      </c>
      <c r="H4" s="90"/>
    </row>
    <row r="5" spans="1:11" ht="12.75" x14ac:dyDescent="0.15">
      <c r="A5" s="51">
        <v>4</v>
      </c>
      <c r="B5" s="337" t="s">
        <v>8</v>
      </c>
      <c r="C5" s="337"/>
      <c r="D5" s="337"/>
      <c r="E5" s="337"/>
      <c r="F5" s="337"/>
      <c r="G5" s="57">
        <f>G4+G3</f>
        <v>538618.07999999996</v>
      </c>
      <c r="H5" s="90"/>
    </row>
    <row r="6" spans="1:11" ht="12.75" x14ac:dyDescent="0.15">
      <c r="A6" s="344"/>
      <c r="B6" s="345"/>
      <c r="C6" s="345"/>
      <c r="D6" s="345"/>
      <c r="E6" s="345"/>
      <c r="F6" s="345"/>
      <c r="G6" s="346"/>
      <c r="H6" s="91"/>
    </row>
    <row r="7" spans="1:11" ht="140.25" x14ac:dyDescent="0.15">
      <c r="A7" s="58" t="s">
        <v>9</v>
      </c>
      <c r="B7" s="335" t="s">
        <v>381</v>
      </c>
      <c r="C7" s="335"/>
      <c r="D7" s="335"/>
      <c r="E7" s="335"/>
      <c r="F7" s="335"/>
      <c r="G7" s="336"/>
      <c r="H7" s="88"/>
    </row>
    <row r="8" spans="1:11" ht="12.75" x14ac:dyDescent="0.2">
      <c r="A8" s="59"/>
      <c r="B8" s="59"/>
      <c r="C8" s="59"/>
      <c r="D8" s="59"/>
      <c r="E8" s="59"/>
      <c r="F8" s="59"/>
      <c r="G8" s="59"/>
      <c r="H8" s="92"/>
    </row>
    <row r="9" spans="1:11" ht="12.75" x14ac:dyDescent="0.2">
      <c r="A9" s="59"/>
      <c r="B9" s="59"/>
      <c r="C9" s="59"/>
      <c r="D9" s="59"/>
      <c r="E9" s="59"/>
      <c r="F9" s="59"/>
      <c r="G9" s="59"/>
      <c r="H9" s="92"/>
    </row>
    <row r="10" spans="1:11" ht="12.75" x14ac:dyDescent="0.2">
      <c r="A10" s="59"/>
      <c r="B10" s="59"/>
      <c r="C10" s="59"/>
      <c r="D10" s="59"/>
      <c r="E10" s="59"/>
      <c r="F10" s="59"/>
      <c r="G10" s="59"/>
      <c r="H10" s="92"/>
    </row>
    <row r="11" spans="1:11" ht="12.75" x14ac:dyDescent="0.2">
      <c r="A11" s="59"/>
      <c r="B11" s="59"/>
      <c r="C11" s="59"/>
      <c r="D11" s="59"/>
      <c r="E11" s="59"/>
      <c r="F11" s="59"/>
      <c r="G11" s="59"/>
      <c r="H11" s="92"/>
    </row>
    <row r="12" spans="1:11" ht="12.75" x14ac:dyDescent="0.2">
      <c r="A12" s="59"/>
      <c r="B12" s="59"/>
      <c r="C12" s="59"/>
      <c r="D12" s="59"/>
      <c r="E12" s="59"/>
      <c r="F12" s="59"/>
      <c r="G12" s="59"/>
      <c r="H12" s="92"/>
    </row>
    <row r="13" spans="1:11" ht="12.75" x14ac:dyDescent="0.2">
      <c r="A13" s="59"/>
      <c r="B13" s="59"/>
      <c r="C13" s="59"/>
      <c r="D13" s="59"/>
      <c r="E13" s="59"/>
      <c r="F13" s="59"/>
      <c r="G13" s="59"/>
      <c r="H13" s="92"/>
    </row>
    <row r="14" spans="1:11" s="1" customFormat="1" ht="12.75" x14ac:dyDescent="0.2">
      <c r="A14" s="59"/>
      <c r="B14" s="59"/>
      <c r="C14" s="59"/>
      <c r="D14" s="59"/>
      <c r="E14" s="59"/>
      <c r="F14" s="59"/>
      <c r="G14" s="59"/>
      <c r="H14" s="92"/>
      <c r="J14" s="4"/>
    </row>
  </sheetData>
  <mergeCells count="5">
    <mergeCell ref="B3:F3"/>
    <mergeCell ref="B4:F4"/>
    <mergeCell ref="B5:F5"/>
    <mergeCell ref="A6:G6"/>
    <mergeCell ref="B7:G7"/>
  </mergeCells>
  <printOptions horizontalCentered="1"/>
  <pageMargins left="0.25" right="0.25" top="0.5" bottom="0.5" header="0.3" footer="0.05"/>
  <pageSetup orientation="landscape" horizontalDpi="4294967292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K15"/>
  <sheetViews>
    <sheetView view="pageBreakPreview" zoomScaleSheetLayoutView="100" workbookViewId="0">
      <selection activeCell="B2" sqref="B2"/>
    </sheetView>
  </sheetViews>
  <sheetFormatPr defaultColWidth="9.140625" defaultRowHeight="11.25" x14ac:dyDescent="0.15"/>
  <cols>
    <col min="1" max="1" width="5.85546875" style="4" bestFit="1" customWidth="1"/>
    <col min="2" max="2" width="12.5703125" style="4" customWidth="1"/>
    <col min="3" max="3" width="50.42578125" style="4" customWidth="1"/>
    <col min="4" max="4" width="5" style="4" bestFit="1" customWidth="1"/>
    <col min="5" max="5" width="6.28515625" style="4" bestFit="1" customWidth="1"/>
    <col min="6" max="6" width="11.5703125" style="4" bestFit="1" customWidth="1"/>
    <col min="7" max="7" width="16.5703125" style="4" bestFit="1" customWidth="1"/>
    <col min="8" max="8" width="16.5703125" style="93" customWidth="1"/>
    <col min="9" max="9" width="9.140625" style="1"/>
    <col min="10" max="10" width="13.28515625" style="4" bestFit="1" customWidth="1"/>
    <col min="11" max="16384" width="9.140625" style="4"/>
  </cols>
  <sheetData>
    <row r="1" spans="1:11" ht="25.5" x14ac:dyDescent="0.15">
      <c r="A1" s="95" t="s">
        <v>0</v>
      </c>
      <c r="B1" s="96" t="s">
        <v>5</v>
      </c>
      <c r="C1" s="96" t="s">
        <v>2</v>
      </c>
      <c r="D1" s="96" t="s">
        <v>3</v>
      </c>
      <c r="E1" s="96" t="s">
        <v>13</v>
      </c>
      <c r="F1" s="97" t="s">
        <v>11</v>
      </c>
      <c r="G1" s="97" t="s">
        <v>12</v>
      </c>
      <c r="H1" s="50" t="s">
        <v>17</v>
      </c>
      <c r="I1" s="40" t="s">
        <v>10</v>
      </c>
      <c r="J1" s="42" t="s">
        <v>529</v>
      </c>
      <c r="K1" s="4" t="s">
        <v>258</v>
      </c>
    </row>
    <row r="2" spans="1:11" s="59" customFormat="1" ht="25.5" x14ac:dyDescent="0.2">
      <c r="A2" s="51">
        <v>1</v>
      </c>
      <c r="B2" s="51">
        <v>1100000513</v>
      </c>
      <c r="C2" s="63" t="s">
        <v>393</v>
      </c>
      <c r="D2" s="54" t="s">
        <v>109</v>
      </c>
      <c r="E2" s="51">
        <v>2</v>
      </c>
      <c r="F2" s="103" t="s">
        <v>395</v>
      </c>
      <c r="G2" s="56">
        <v>0</v>
      </c>
      <c r="H2" s="89"/>
      <c r="I2" s="89"/>
      <c r="J2" s="94"/>
    </row>
    <row r="3" spans="1:11" s="59" customFormat="1" ht="38.25" x14ac:dyDescent="0.2">
      <c r="A3" s="51">
        <v>2</v>
      </c>
      <c r="B3" s="51">
        <v>4000012682</v>
      </c>
      <c r="C3" s="63" t="s">
        <v>394</v>
      </c>
      <c r="D3" s="54" t="s">
        <v>109</v>
      </c>
      <c r="E3" s="51">
        <v>1</v>
      </c>
      <c r="F3" s="55">
        <f>H3*88*1.33</f>
        <v>105336</v>
      </c>
      <c r="G3" s="56">
        <f t="shared" ref="G3" si="0">F3*E3</f>
        <v>105336</v>
      </c>
      <c r="H3" s="89">
        <v>900</v>
      </c>
      <c r="I3" s="89">
        <v>680</v>
      </c>
      <c r="J3" s="94">
        <v>552.83000000000004</v>
      </c>
    </row>
    <row r="4" spans="1:11" ht="12.75" x14ac:dyDescent="0.15">
      <c r="A4" s="51">
        <v>2</v>
      </c>
      <c r="B4" s="337" t="s">
        <v>7</v>
      </c>
      <c r="C4" s="337"/>
      <c r="D4" s="337"/>
      <c r="E4" s="337"/>
      <c r="F4" s="337"/>
      <c r="G4" s="57">
        <f>G3</f>
        <v>105336</v>
      </c>
      <c r="H4" s="90"/>
      <c r="I4" s="46"/>
      <c r="J4" s="47"/>
    </row>
    <row r="5" spans="1:11" ht="12.75" x14ac:dyDescent="0.15">
      <c r="A5" s="51">
        <v>3</v>
      </c>
      <c r="B5" s="337" t="s">
        <v>186</v>
      </c>
      <c r="C5" s="337"/>
      <c r="D5" s="337"/>
      <c r="E5" s="337"/>
      <c r="F5" s="337"/>
      <c r="G5" s="57">
        <f>G4*18%</f>
        <v>18960.48</v>
      </c>
      <c r="H5" s="90"/>
    </row>
    <row r="6" spans="1:11" ht="12.75" x14ac:dyDescent="0.15">
      <c r="A6" s="51">
        <v>4</v>
      </c>
      <c r="B6" s="337" t="s">
        <v>8</v>
      </c>
      <c r="C6" s="337"/>
      <c r="D6" s="337"/>
      <c r="E6" s="337"/>
      <c r="F6" s="337"/>
      <c r="G6" s="57">
        <f>G5+G4</f>
        <v>124296.48</v>
      </c>
      <c r="H6" s="90"/>
    </row>
    <row r="7" spans="1:11" ht="12.75" x14ac:dyDescent="0.15">
      <c r="A7" s="344"/>
      <c r="B7" s="345"/>
      <c r="C7" s="345"/>
      <c r="D7" s="345"/>
      <c r="E7" s="345"/>
      <c r="F7" s="345"/>
      <c r="G7" s="346"/>
      <c r="H7" s="91"/>
    </row>
    <row r="8" spans="1:11" ht="140.25" x14ac:dyDescent="0.15">
      <c r="A8" s="58" t="s">
        <v>9</v>
      </c>
      <c r="B8" s="335" t="s">
        <v>381</v>
      </c>
      <c r="C8" s="335"/>
      <c r="D8" s="335"/>
      <c r="E8" s="335"/>
      <c r="F8" s="335"/>
      <c r="G8" s="336"/>
      <c r="H8" s="88"/>
    </row>
    <row r="9" spans="1:11" ht="12.75" x14ac:dyDescent="0.2">
      <c r="A9" s="59"/>
      <c r="B9" s="59"/>
      <c r="C9" s="59"/>
      <c r="D9" s="59"/>
      <c r="E9" s="59"/>
      <c r="F9" s="59"/>
      <c r="G9" s="59"/>
      <c r="H9" s="92"/>
    </row>
    <row r="10" spans="1:11" ht="12.75" x14ac:dyDescent="0.2">
      <c r="A10" s="59"/>
      <c r="B10" s="59"/>
      <c r="C10" s="59"/>
      <c r="D10" s="59"/>
      <c r="E10" s="59"/>
      <c r="F10" s="59"/>
      <c r="G10" s="59"/>
      <c r="H10" s="92"/>
    </row>
    <row r="11" spans="1:11" ht="12.75" x14ac:dyDescent="0.2">
      <c r="A11" s="59"/>
      <c r="B11" s="59"/>
      <c r="C11" s="59"/>
      <c r="D11" s="59"/>
      <c r="E11" s="59"/>
      <c r="F11" s="59"/>
      <c r="G11" s="59"/>
      <c r="H11" s="92"/>
    </row>
    <row r="12" spans="1:11" ht="12.75" x14ac:dyDescent="0.2">
      <c r="A12" s="59"/>
      <c r="B12" s="59"/>
      <c r="C12" s="59"/>
      <c r="D12" s="59"/>
      <c r="E12" s="59"/>
      <c r="F12" s="59"/>
      <c r="G12" s="59"/>
      <c r="H12" s="92"/>
    </row>
    <row r="13" spans="1:11" ht="12.75" x14ac:dyDescent="0.2">
      <c r="A13" s="59"/>
      <c r="B13" s="59"/>
      <c r="C13" s="59"/>
      <c r="D13" s="59"/>
      <c r="E13" s="59"/>
      <c r="F13" s="59"/>
      <c r="G13" s="59"/>
      <c r="H13" s="92"/>
    </row>
    <row r="14" spans="1:11" ht="12.75" x14ac:dyDescent="0.2">
      <c r="A14" s="59"/>
      <c r="B14" s="59"/>
      <c r="C14" s="59"/>
      <c r="D14" s="59"/>
      <c r="E14" s="59"/>
      <c r="F14" s="59"/>
      <c r="G14" s="59"/>
      <c r="H14" s="92"/>
    </row>
    <row r="15" spans="1:11" s="1" customFormat="1" ht="12.75" x14ac:dyDescent="0.2">
      <c r="A15" s="59"/>
      <c r="B15" s="59"/>
      <c r="C15" s="59"/>
      <c r="D15" s="59"/>
      <c r="E15" s="59"/>
      <c r="F15" s="59"/>
      <c r="G15" s="59"/>
      <c r="H15" s="92"/>
      <c r="J15" s="4"/>
    </row>
  </sheetData>
  <mergeCells count="5">
    <mergeCell ref="B4:F4"/>
    <mergeCell ref="B5:F5"/>
    <mergeCell ref="B6:F6"/>
    <mergeCell ref="A7:G7"/>
    <mergeCell ref="B8:G8"/>
  </mergeCells>
  <printOptions horizontalCentered="1"/>
  <pageMargins left="0.25" right="0.25" top="0.5" bottom="0.5" header="0.3" footer="0.05"/>
  <pageSetup orientation="landscape" horizontalDpi="4294967292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K15"/>
  <sheetViews>
    <sheetView view="pageBreakPreview" zoomScaleSheetLayoutView="100" workbookViewId="0">
      <selection activeCell="I4" sqref="I4"/>
    </sheetView>
  </sheetViews>
  <sheetFormatPr defaultColWidth="9.140625" defaultRowHeight="11.25" x14ac:dyDescent="0.15"/>
  <cols>
    <col min="1" max="1" width="5.85546875" style="4" bestFit="1" customWidth="1"/>
    <col min="2" max="2" width="12.5703125" style="4" customWidth="1"/>
    <col min="3" max="3" width="50.42578125" style="4" customWidth="1"/>
    <col min="4" max="4" width="5" style="4" bestFit="1" customWidth="1"/>
    <col min="5" max="5" width="6.28515625" style="4" bestFit="1" customWidth="1"/>
    <col min="6" max="6" width="11.5703125" style="4" bestFit="1" customWidth="1"/>
    <col min="7" max="7" width="16.5703125" style="4" bestFit="1" customWidth="1"/>
    <col min="8" max="8" width="9.140625" style="1"/>
    <col min="9" max="9" width="14.140625" style="12" bestFit="1" customWidth="1"/>
    <col min="10" max="10" width="13.28515625" style="4" bestFit="1" customWidth="1"/>
    <col min="11" max="16384" width="9.140625" style="4"/>
  </cols>
  <sheetData>
    <row r="1" spans="1:11" ht="25.5" x14ac:dyDescent="0.15">
      <c r="A1" s="48" t="s">
        <v>0</v>
      </c>
      <c r="B1" s="49" t="s">
        <v>5</v>
      </c>
      <c r="C1" s="49" t="s">
        <v>2</v>
      </c>
      <c r="D1" s="49" t="s">
        <v>3</v>
      </c>
      <c r="E1" s="49" t="s">
        <v>13</v>
      </c>
      <c r="F1" s="50" t="s">
        <v>11</v>
      </c>
      <c r="G1" s="50" t="s">
        <v>12</v>
      </c>
      <c r="H1" s="40" t="s">
        <v>17</v>
      </c>
      <c r="I1" s="41" t="s">
        <v>14</v>
      </c>
      <c r="J1" s="42" t="s">
        <v>10</v>
      </c>
      <c r="K1" s="4" t="s">
        <v>107</v>
      </c>
    </row>
    <row r="2" spans="1:11" ht="12.75" x14ac:dyDescent="0.15">
      <c r="A2" s="51">
        <v>1</v>
      </c>
      <c r="B2" s="51">
        <v>3000001311</v>
      </c>
      <c r="C2" s="53" t="s">
        <v>396</v>
      </c>
      <c r="D2" s="54" t="s">
        <v>109</v>
      </c>
      <c r="E2" s="51">
        <v>10</v>
      </c>
      <c r="F2" s="55">
        <f>80*1.33*H2</f>
        <v>1064</v>
      </c>
      <c r="G2" s="56">
        <f t="shared" ref="G2:G3" si="0">F2*E2</f>
        <v>10640</v>
      </c>
      <c r="H2" s="43">
        <v>10</v>
      </c>
      <c r="I2" s="44"/>
      <c r="J2" s="45"/>
    </row>
    <row r="3" spans="1:11" ht="12.75" x14ac:dyDescent="0.15">
      <c r="A3" s="51">
        <v>2</v>
      </c>
      <c r="B3" s="51">
        <v>3000001137</v>
      </c>
      <c r="C3" s="53" t="s">
        <v>228</v>
      </c>
      <c r="D3" s="54" t="s">
        <v>109</v>
      </c>
      <c r="E3" s="51">
        <v>6</v>
      </c>
      <c r="F3" s="55">
        <v>9044</v>
      </c>
      <c r="G3" s="56">
        <f t="shared" si="0"/>
        <v>54264</v>
      </c>
      <c r="H3" s="43"/>
      <c r="I3" s="44">
        <v>80</v>
      </c>
      <c r="J3" s="45"/>
    </row>
    <row r="4" spans="1:11" ht="12.75" x14ac:dyDescent="0.15">
      <c r="A4" s="51">
        <v>3</v>
      </c>
      <c r="B4" s="337" t="s">
        <v>7</v>
      </c>
      <c r="C4" s="337"/>
      <c r="D4" s="337"/>
      <c r="E4" s="337"/>
      <c r="F4" s="337"/>
      <c r="G4" s="57">
        <f>SUM(G2:G3)</f>
        <v>64904</v>
      </c>
      <c r="H4" s="46"/>
      <c r="I4" s="46"/>
      <c r="J4" s="47"/>
    </row>
    <row r="5" spans="1:11" ht="12.75" x14ac:dyDescent="0.15">
      <c r="A5" s="51">
        <v>4</v>
      </c>
      <c r="B5" s="337" t="s">
        <v>397</v>
      </c>
      <c r="C5" s="337"/>
      <c r="D5" s="337"/>
      <c r="E5" s="337"/>
      <c r="F5" s="337"/>
      <c r="G5" s="57">
        <f>G4*18%</f>
        <v>11682.72</v>
      </c>
    </row>
    <row r="6" spans="1:11" ht="12.75" x14ac:dyDescent="0.15">
      <c r="A6" s="51">
        <v>5</v>
      </c>
      <c r="B6" s="337" t="s">
        <v>8</v>
      </c>
      <c r="C6" s="337"/>
      <c r="D6" s="337"/>
      <c r="E6" s="337"/>
      <c r="F6" s="337"/>
      <c r="G6" s="57">
        <f>G5+G4</f>
        <v>76586.720000000001</v>
      </c>
    </row>
    <row r="7" spans="1:11" ht="12.75" x14ac:dyDescent="0.15">
      <c r="A7" s="344"/>
      <c r="B7" s="345"/>
      <c r="C7" s="345"/>
      <c r="D7" s="345"/>
      <c r="E7" s="345"/>
      <c r="F7" s="345"/>
      <c r="G7" s="346"/>
    </row>
    <row r="8" spans="1:11" ht="140.25" x14ac:dyDescent="0.15">
      <c r="A8" s="58" t="s">
        <v>9</v>
      </c>
      <c r="B8" s="335" t="s">
        <v>108</v>
      </c>
      <c r="C8" s="335"/>
      <c r="D8" s="335"/>
      <c r="E8" s="335"/>
      <c r="F8" s="335"/>
      <c r="G8" s="336"/>
    </row>
    <row r="9" spans="1:11" ht="12.75" x14ac:dyDescent="0.2">
      <c r="A9" s="59"/>
      <c r="B9" s="59"/>
      <c r="C9" s="59"/>
      <c r="D9" s="59"/>
      <c r="E9" s="59"/>
      <c r="F9" s="59"/>
      <c r="G9" s="59"/>
    </row>
    <row r="10" spans="1:11" ht="12.75" x14ac:dyDescent="0.2">
      <c r="A10" s="59"/>
      <c r="B10" s="59"/>
      <c r="C10" s="59"/>
      <c r="D10" s="59"/>
      <c r="E10" s="59"/>
      <c r="F10" s="59"/>
      <c r="G10" s="59"/>
    </row>
    <row r="11" spans="1:11" ht="12.75" x14ac:dyDescent="0.2">
      <c r="A11" s="59"/>
      <c r="B11" s="59"/>
      <c r="C11" s="59"/>
      <c r="D11" s="59"/>
      <c r="E11" s="59"/>
      <c r="F11" s="59"/>
      <c r="G11" s="59"/>
    </row>
    <row r="12" spans="1:11" ht="12.75" x14ac:dyDescent="0.2">
      <c r="A12" s="59"/>
      <c r="B12" s="59"/>
      <c r="C12" s="59"/>
      <c r="D12" s="59"/>
      <c r="E12" s="59"/>
      <c r="F12" s="59"/>
      <c r="G12" s="59"/>
    </row>
    <row r="13" spans="1:11" ht="12.75" x14ac:dyDescent="0.2">
      <c r="A13" s="59"/>
      <c r="B13" s="59"/>
      <c r="C13" s="59"/>
      <c r="D13" s="59"/>
      <c r="E13" s="59"/>
      <c r="F13" s="59"/>
      <c r="G13" s="59"/>
    </row>
    <row r="14" spans="1:11" ht="12.75" x14ac:dyDescent="0.2">
      <c r="A14" s="59"/>
      <c r="B14" s="59"/>
      <c r="C14" s="59"/>
      <c r="D14" s="59"/>
      <c r="E14" s="59"/>
      <c r="F14" s="59"/>
      <c r="G14" s="59"/>
    </row>
    <row r="15" spans="1:11" s="1" customFormat="1" ht="12.75" x14ac:dyDescent="0.2">
      <c r="A15" s="59"/>
      <c r="B15" s="59"/>
      <c r="C15" s="59"/>
      <c r="D15" s="59"/>
      <c r="E15" s="59"/>
      <c r="F15" s="59"/>
      <c r="G15" s="59"/>
      <c r="I15" s="12"/>
      <c r="J15" s="4"/>
      <c r="K15" s="4"/>
    </row>
  </sheetData>
  <mergeCells count="5">
    <mergeCell ref="B4:F4"/>
    <mergeCell ref="B5:F5"/>
    <mergeCell ref="B6:F6"/>
    <mergeCell ref="A7:G7"/>
    <mergeCell ref="B8:G8"/>
  </mergeCells>
  <printOptions horizontalCentered="1"/>
  <pageMargins left="0.25" right="0.25" top="0.5" bottom="0.5" header="0.3" footer="0.05"/>
  <pageSetup orientation="landscape" horizontalDpi="4294967292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K14"/>
  <sheetViews>
    <sheetView view="pageBreakPreview" zoomScaleSheetLayoutView="100" workbookViewId="0">
      <selection activeCell="B7" sqref="B7:G7"/>
    </sheetView>
  </sheetViews>
  <sheetFormatPr defaultColWidth="9.140625" defaultRowHeight="11.25" x14ac:dyDescent="0.15"/>
  <cols>
    <col min="1" max="1" width="5.85546875" style="4" bestFit="1" customWidth="1"/>
    <col min="2" max="2" width="12.5703125" style="4" customWidth="1"/>
    <col min="3" max="3" width="50.42578125" style="4" customWidth="1"/>
    <col min="4" max="4" width="5" style="4" bestFit="1" customWidth="1"/>
    <col min="5" max="5" width="6.28515625" style="4" bestFit="1" customWidth="1"/>
    <col min="6" max="6" width="11.5703125" style="4" bestFit="1" customWidth="1"/>
    <col min="7" max="7" width="16.5703125" style="4" bestFit="1" customWidth="1"/>
    <col min="8" max="8" width="9.140625" style="1"/>
    <col min="9" max="9" width="10.5703125" style="12" bestFit="1" customWidth="1"/>
    <col min="10" max="10" width="13.28515625" style="4" bestFit="1" customWidth="1"/>
    <col min="11" max="16384" width="9.140625" style="4"/>
  </cols>
  <sheetData>
    <row r="1" spans="1:11" ht="25.5" x14ac:dyDescent="0.15">
      <c r="A1" s="48" t="s">
        <v>0</v>
      </c>
      <c r="B1" s="49" t="s">
        <v>5</v>
      </c>
      <c r="C1" s="49" t="s">
        <v>2</v>
      </c>
      <c r="D1" s="49" t="s">
        <v>3</v>
      </c>
      <c r="E1" s="49" t="s">
        <v>13</v>
      </c>
      <c r="F1" s="50" t="s">
        <v>11</v>
      </c>
      <c r="G1" s="50" t="s">
        <v>12</v>
      </c>
      <c r="H1" s="40" t="s">
        <v>17</v>
      </c>
      <c r="I1" s="41" t="s">
        <v>14</v>
      </c>
      <c r="J1" s="42" t="s">
        <v>110</v>
      </c>
      <c r="K1" s="4" t="s">
        <v>107</v>
      </c>
    </row>
    <row r="2" spans="1:11" ht="38.25" x14ac:dyDescent="0.15">
      <c r="A2" s="51">
        <v>1</v>
      </c>
      <c r="B2" s="51">
        <v>3000001311</v>
      </c>
      <c r="C2" s="53" t="s">
        <v>398</v>
      </c>
      <c r="D2" s="54" t="s">
        <v>109</v>
      </c>
      <c r="E2" s="51">
        <v>25</v>
      </c>
      <c r="F2" s="55">
        <f>89*1.33*H2</f>
        <v>4024.58</v>
      </c>
      <c r="G2" s="56">
        <f t="shared" ref="G2" si="0">F2*E2</f>
        <v>100614.5</v>
      </c>
      <c r="H2" s="43">
        <f>J2+12</f>
        <v>34</v>
      </c>
      <c r="I2" s="44"/>
      <c r="J2" s="45">
        <v>22</v>
      </c>
    </row>
    <row r="3" spans="1:11" ht="12.75" x14ac:dyDescent="0.15">
      <c r="A3" s="51">
        <v>2</v>
      </c>
      <c r="B3" s="337" t="s">
        <v>7</v>
      </c>
      <c r="C3" s="337"/>
      <c r="D3" s="337"/>
      <c r="E3" s="337"/>
      <c r="F3" s="337"/>
      <c r="G3" s="57">
        <f>SUM(G2:G2)</f>
        <v>100614.5</v>
      </c>
      <c r="H3" s="46"/>
      <c r="I3" s="46"/>
      <c r="J3" s="47"/>
    </row>
    <row r="4" spans="1:11" ht="12.75" x14ac:dyDescent="0.15">
      <c r="A4" s="51">
        <v>3</v>
      </c>
      <c r="B4" s="337" t="s">
        <v>397</v>
      </c>
      <c r="C4" s="337"/>
      <c r="D4" s="337"/>
      <c r="E4" s="337"/>
      <c r="F4" s="337"/>
      <c r="G4" s="57">
        <f>G3*18%</f>
        <v>18110.61</v>
      </c>
    </row>
    <row r="5" spans="1:11" ht="12.75" x14ac:dyDescent="0.15">
      <c r="A5" s="51">
        <v>4</v>
      </c>
      <c r="B5" s="337" t="s">
        <v>8</v>
      </c>
      <c r="C5" s="337"/>
      <c r="D5" s="337"/>
      <c r="E5" s="337"/>
      <c r="F5" s="337"/>
      <c r="G5" s="57">
        <f>G4+G3</f>
        <v>118725.11</v>
      </c>
    </row>
    <row r="6" spans="1:11" ht="12.75" x14ac:dyDescent="0.15">
      <c r="A6" s="344"/>
      <c r="B6" s="345"/>
      <c r="C6" s="345"/>
      <c r="D6" s="345"/>
      <c r="E6" s="345"/>
      <c r="F6" s="345"/>
      <c r="G6" s="346"/>
    </row>
    <row r="7" spans="1:11" ht="140.25" x14ac:dyDescent="0.15">
      <c r="A7" s="58" t="s">
        <v>9</v>
      </c>
      <c r="B7" s="335" t="s">
        <v>108</v>
      </c>
      <c r="C7" s="335"/>
      <c r="D7" s="335"/>
      <c r="E7" s="335"/>
      <c r="F7" s="335"/>
      <c r="G7" s="336"/>
    </row>
    <row r="8" spans="1:11" ht="12.75" x14ac:dyDescent="0.2">
      <c r="A8" s="59"/>
      <c r="B8" s="59"/>
      <c r="C8" s="59"/>
      <c r="D8" s="59"/>
      <c r="E8" s="59"/>
      <c r="F8" s="59"/>
      <c r="G8" s="59"/>
    </row>
    <row r="9" spans="1:11" ht="12.75" x14ac:dyDescent="0.2">
      <c r="A9" s="59"/>
      <c r="B9" s="59"/>
      <c r="C9" s="59"/>
      <c r="D9" s="59"/>
      <c r="E9" s="59"/>
      <c r="F9" s="59"/>
      <c r="G9" s="59"/>
    </row>
    <row r="10" spans="1:11" ht="12.75" x14ac:dyDescent="0.2">
      <c r="A10" s="59"/>
      <c r="B10" s="59"/>
      <c r="C10" s="59"/>
      <c r="D10" s="59"/>
      <c r="E10" s="59"/>
      <c r="F10" s="59"/>
      <c r="G10" s="59"/>
    </row>
    <row r="11" spans="1:11" ht="12.75" x14ac:dyDescent="0.2">
      <c r="A11" s="59"/>
      <c r="B11" s="59"/>
      <c r="C11" s="59"/>
      <c r="D11" s="59"/>
      <c r="E11" s="59"/>
      <c r="F11" s="59"/>
      <c r="G11" s="59"/>
    </row>
    <row r="12" spans="1:11" ht="12.75" x14ac:dyDescent="0.2">
      <c r="A12" s="59"/>
      <c r="B12" s="59"/>
      <c r="C12" s="59"/>
      <c r="D12" s="59"/>
      <c r="E12" s="59"/>
      <c r="F12" s="59"/>
      <c r="G12" s="59"/>
    </row>
    <row r="13" spans="1:11" ht="12.75" x14ac:dyDescent="0.2">
      <c r="A13" s="59"/>
      <c r="B13" s="59"/>
      <c r="C13" s="59"/>
      <c r="D13" s="59"/>
      <c r="E13" s="59"/>
      <c r="F13" s="59"/>
      <c r="G13" s="59"/>
    </row>
    <row r="14" spans="1:11" s="1" customFormat="1" ht="12.75" x14ac:dyDescent="0.2">
      <c r="A14" s="59"/>
      <c r="B14" s="59"/>
      <c r="C14" s="59"/>
      <c r="D14" s="59"/>
      <c r="E14" s="59"/>
      <c r="F14" s="59"/>
      <c r="G14" s="59"/>
      <c r="I14" s="12"/>
      <c r="J14" s="4"/>
      <c r="K14" s="4"/>
    </row>
  </sheetData>
  <mergeCells count="5">
    <mergeCell ref="B3:F3"/>
    <mergeCell ref="B4:F4"/>
    <mergeCell ref="B5:F5"/>
    <mergeCell ref="A6:G6"/>
    <mergeCell ref="B7:G7"/>
  </mergeCells>
  <printOptions horizontalCentered="1"/>
  <pageMargins left="0.25" right="0.25" top="0.5" bottom="0.5" header="0.3" footer="0.05"/>
  <pageSetup orientation="landscape" horizontalDpi="4294967292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K14"/>
  <sheetViews>
    <sheetView view="pageBreakPreview" zoomScaleSheetLayoutView="100" workbookViewId="0">
      <selection activeCell="A2" sqref="A2:XFD2"/>
    </sheetView>
  </sheetViews>
  <sheetFormatPr defaultColWidth="9.140625" defaultRowHeight="11.25" x14ac:dyDescent="0.15"/>
  <cols>
    <col min="1" max="1" width="5.85546875" style="4" bestFit="1" customWidth="1"/>
    <col min="2" max="2" width="12.5703125" style="4" customWidth="1"/>
    <col min="3" max="3" width="50.42578125" style="4" customWidth="1"/>
    <col min="4" max="4" width="5" style="4" bestFit="1" customWidth="1"/>
    <col min="5" max="5" width="6.28515625" style="4" bestFit="1" customWidth="1"/>
    <col min="6" max="6" width="11.5703125" style="4" bestFit="1" customWidth="1"/>
    <col min="7" max="7" width="16.5703125" style="4" bestFit="1" customWidth="1"/>
    <col min="8" max="8" width="9.140625" style="1"/>
    <col min="9" max="9" width="10.5703125" style="12" bestFit="1" customWidth="1"/>
    <col min="10" max="10" width="13.28515625" style="4" bestFit="1" customWidth="1"/>
    <col min="11" max="16384" width="9.140625" style="4"/>
  </cols>
  <sheetData>
    <row r="1" spans="1:11" ht="25.5" x14ac:dyDescent="0.15">
      <c r="A1" s="48" t="s">
        <v>0</v>
      </c>
      <c r="B1" s="49" t="s">
        <v>5</v>
      </c>
      <c r="C1" s="49" t="s">
        <v>2</v>
      </c>
      <c r="D1" s="49" t="s">
        <v>3</v>
      </c>
      <c r="E1" s="49" t="s">
        <v>13</v>
      </c>
      <c r="F1" s="50" t="s">
        <v>11</v>
      </c>
      <c r="G1" s="50" t="s">
        <v>12</v>
      </c>
      <c r="H1" s="40" t="s">
        <v>17</v>
      </c>
      <c r="I1" s="41" t="s">
        <v>14</v>
      </c>
      <c r="J1" s="42" t="s">
        <v>110</v>
      </c>
      <c r="K1" s="4" t="s">
        <v>107</v>
      </c>
    </row>
    <row r="2" spans="1:11" ht="38.25" x14ac:dyDescent="0.15">
      <c r="A2" s="51">
        <v>1</v>
      </c>
      <c r="B2" s="51">
        <v>4000008265</v>
      </c>
      <c r="C2" s="53" t="s">
        <v>399</v>
      </c>
      <c r="D2" s="54" t="s">
        <v>109</v>
      </c>
      <c r="E2" s="51">
        <v>4</v>
      </c>
      <c r="F2" s="55">
        <f>88*1.33*H2</f>
        <v>11938.08</v>
      </c>
      <c r="G2" s="56">
        <f t="shared" ref="G2" si="0">F2*E2</f>
        <v>47752.32</v>
      </c>
      <c r="H2" s="43">
        <v>102</v>
      </c>
      <c r="I2" s="44"/>
      <c r="J2" s="45">
        <v>114</v>
      </c>
    </row>
    <row r="3" spans="1:11" ht="12.75" x14ac:dyDescent="0.15">
      <c r="A3" s="51">
        <v>2</v>
      </c>
      <c r="B3" s="337" t="s">
        <v>7</v>
      </c>
      <c r="C3" s="337"/>
      <c r="D3" s="337"/>
      <c r="E3" s="337"/>
      <c r="F3" s="337"/>
      <c r="G3" s="57">
        <f>SUM(G2:G2)</f>
        <v>47752.32</v>
      </c>
      <c r="H3" s="46"/>
      <c r="I3" s="46"/>
      <c r="J3" s="47"/>
    </row>
    <row r="4" spans="1:11" ht="12.75" x14ac:dyDescent="0.15">
      <c r="A4" s="51">
        <v>3</v>
      </c>
      <c r="B4" s="337" t="s">
        <v>397</v>
      </c>
      <c r="C4" s="337"/>
      <c r="D4" s="337"/>
      <c r="E4" s="337"/>
      <c r="F4" s="337"/>
      <c r="G4" s="57">
        <f>G3*18%</f>
        <v>8595.4175999999989</v>
      </c>
    </row>
    <row r="5" spans="1:11" ht="12.75" x14ac:dyDescent="0.15">
      <c r="A5" s="51">
        <v>4</v>
      </c>
      <c r="B5" s="337" t="s">
        <v>8</v>
      </c>
      <c r="C5" s="337"/>
      <c r="D5" s="337"/>
      <c r="E5" s="337"/>
      <c r="F5" s="337"/>
      <c r="G5" s="57">
        <f>G4+G3</f>
        <v>56347.7376</v>
      </c>
    </row>
    <row r="6" spans="1:11" ht="12.75" x14ac:dyDescent="0.15">
      <c r="A6" s="344"/>
      <c r="B6" s="345"/>
      <c r="C6" s="345"/>
      <c r="D6" s="345"/>
      <c r="E6" s="345"/>
      <c r="F6" s="345"/>
      <c r="G6" s="346"/>
    </row>
    <row r="7" spans="1:11" ht="140.25" x14ac:dyDescent="0.15">
      <c r="A7" s="58" t="s">
        <v>9</v>
      </c>
      <c r="B7" s="335" t="s">
        <v>108</v>
      </c>
      <c r="C7" s="335"/>
      <c r="D7" s="335"/>
      <c r="E7" s="335"/>
      <c r="F7" s="335"/>
      <c r="G7" s="336"/>
    </row>
    <row r="8" spans="1:11" ht="12.75" x14ac:dyDescent="0.2">
      <c r="A8" s="59"/>
      <c r="B8" s="59"/>
      <c r="C8" s="59"/>
      <c r="D8" s="59"/>
      <c r="E8" s="59"/>
      <c r="F8" s="59"/>
      <c r="G8" s="59"/>
    </row>
    <row r="9" spans="1:11" ht="12.75" x14ac:dyDescent="0.2">
      <c r="A9" s="59"/>
      <c r="B9" s="59"/>
      <c r="C9" s="59"/>
      <c r="D9" s="59"/>
      <c r="E9" s="59"/>
      <c r="F9" s="59"/>
      <c r="G9" s="59"/>
    </row>
    <row r="10" spans="1:11" ht="12.75" x14ac:dyDescent="0.2">
      <c r="A10" s="59"/>
      <c r="B10" s="59"/>
      <c r="C10" s="59"/>
      <c r="D10" s="59"/>
      <c r="E10" s="59"/>
      <c r="F10" s="59"/>
      <c r="G10" s="59"/>
    </row>
    <row r="11" spans="1:11" ht="12.75" x14ac:dyDescent="0.2">
      <c r="A11" s="59"/>
      <c r="B11" s="59"/>
      <c r="C11" s="59"/>
      <c r="D11" s="59"/>
      <c r="E11" s="59"/>
      <c r="F11" s="59"/>
      <c r="G11" s="59"/>
    </row>
    <row r="12" spans="1:11" ht="12.75" x14ac:dyDescent="0.2">
      <c r="A12" s="59"/>
      <c r="B12" s="59"/>
      <c r="C12" s="59"/>
      <c r="D12" s="59"/>
      <c r="E12" s="59"/>
      <c r="F12" s="59"/>
      <c r="G12" s="59"/>
    </row>
    <row r="13" spans="1:11" ht="12.75" x14ac:dyDescent="0.2">
      <c r="A13" s="59"/>
      <c r="B13" s="59"/>
      <c r="C13" s="59"/>
      <c r="D13" s="59"/>
      <c r="E13" s="59"/>
      <c r="F13" s="59"/>
      <c r="G13" s="59"/>
    </row>
    <row r="14" spans="1:11" s="1" customFormat="1" ht="12.75" x14ac:dyDescent="0.2">
      <c r="A14" s="59"/>
      <c r="B14" s="59"/>
      <c r="C14" s="59"/>
      <c r="D14" s="59"/>
      <c r="E14" s="59"/>
      <c r="F14" s="59"/>
      <c r="G14" s="59"/>
      <c r="I14" s="12"/>
      <c r="J14" s="4"/>
      <c r="K14" s="4"/>
    </row>
  </sheetData>
  <mergeCells count="5">
    <mergeCell ref="B3:F3"/>
    <mergeCell ref="B4:F4"/>
    <mergeCell ref="B5:F5"/>
    <mergeCell ref="A6:G6"/>
    <mergeCell ref="B7:G7"/>
  </mergeCells>
  <printOptions horizontalCentered="1"/>
  <pageMargins left="0.25" right="0.25" top="0.5" bottom="0.5" header="0.3" footer="0.05"/>
  <pageSetup orientation="landscape" horizontalDpi="4294967292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K16"/>
  <sheetViews>
    <sheetView view="pageBreakPreview" zoomScaleSheetLayoutView="100" workbookViewId="0">
      <selection activeCell="A4" sqref="A4"/>
    </sheetView>
  </sheetViews>
  <sheetFormatPr defaultColWidth="9.140625" defaultRowHeight="11.25" x14ac:dyDescent="0.15"/>
  <cols>
    <col min="1" max="1" width="5.85546875" style="4" bestFit="1" customWidth="1"/>
    <col min="2" max="2" width="12.5703125" style="4" customWidth="1"/>
    <col min="3" max="3" width="15.42578125" style="4" bestFit="1" customWidth="1"/>
    <col min="4" max="4" width="5" style="4" bestFit="1" customWidth="1"/>
    <col min="5" max="5" width="6.28515625" style="4" bestFit="1" customWidth="1"/>
    <col min="6" max="6" width="11.5703125" style="4" bestFit="1" customWidth="1"/>
    <col min="7" max="7" width="16.5703125" style="4" bestFit="1" customWidth="1"/>
    <col min="8" max="8" width="9.140625" style="1"/>
    <col min="9" max="9" width="10.5703125" style="12" bestFit="1" customWidth="1"/>
    <col min="10" max="10" width="13.28515625" style="4" bestFit="1" customWidth="1"/>
    <col min="11" max="16384" width="9.140625" style="4"/>
  </cols>
  <sheetData>
    <row r="1" spans="1:11" ht="25.5" x14ac:dyDescent="0.15">
      <c r="A1" s="48" t="s">
        <v>0</v>
      </c>
      <c r="B1" s="49" t="s">
        <v>5</v>
      </c>
      <c r="C1" s="49" t="s">
        <v>2</v>
      </c>
      <c r="D1" s="49" t="s">
        <v>3</v>
      </c>
      <c r="E1" s="49" t="s">
        <v>13</v>
      </c>
      <c r="F1" s="50" t="s">
        <v>11</v>
      </c>
      <c r="G1" s="50" t="s">
        <v>12</v>
      </c>
      <c r="H1" s="40" t="s">
        <v>17</v>
      </c>
      <c r="I1" s="41" t="s">
        <v>14</v>
      </c>
      <c r="J1" s="42" t="s">
        <v>110</v>
      </c>
      <c r="K1" s="4" t="s">
        <v>107</v>
      </c>
    </row>
    <row r="2" spans="1:11" ht="51" x14ac:dyDescent="0.15">
      <c r="A2" s="51">
        <v>1</v>
      </c>
      <c r="B2" s="51" t="s">
        <v>269</v>
      </c>
      <c r="C2" s="53" t="s">
        <v>400</v>
      </c>
      <c r="D2" s="54" t="s">
        <v>109</v>
      </c>
      <c r="E2" s="51">
        <v>1</v>
      </c>
      <c r="F2" s="55">
        <f>88*1.33*H2</f>
        <v>702240</v>
      </c>
      <c r="G2" s="56">
        <f t="shared" ref="G2:G3" si="0">F2*E2</f>
        <v>702240</v>
      </c>
      <c r="H2" s="43">
        <v>6000</v>
      </c>
      <c r="I2" s="44"/>
      <c r="J2" s="45">
        <v>5560</v>
      </c>
    </row>
    <row r="3" spans="1:11" ht="51" x14ac:dyDescent="0.15">
      <c r="A3" s="51">
        <v>2</v>
      </c>
      <c r="B3" s="51" t="s">
        <v>269</v>
      </c>
      <c r="C3" s="53" t="s">
        <v>401</v>
      </c>
      <c r="D3" s="54" t="s">
        <v>109</v>
      </c>
      <c r="E3" s="51">
        <v>1</v>
      </c>
      <c r="F3" s="55">
        <f>88*1.33*H3</f>
        <v>702240</v>
      </c>
      <c r="G3" s="56">
        <f t="shared" si="0"/>
        <v>702240</v>
      </c>
      <c r="H3" s="43">
        <v>6000</v>
      </c>
      <c r="I3" s="44"/>
      <c r="J3" s="45">
        <v>5560</v>
      </c>
    </row>
    <row r="4" spans="1:11" ht="51" x14ac:dyDescent="0.15">
      <c r="A4" s="51">
        <v>3</v>
      </c>
      <c r="B4" s="51" t="s">
        <v>269</v>
      </c>
      <c r="C4" s="53" t="s">
        <v>474</v>
      </c>
      <c r="D4" s="54" t="s">
        <v>109</v>
      </c>
      <c r="E4" s="51">
        <v>1</v>
      </c>
      <c r="F4" s="55">
        <f>88*1.33*H4</f>
        <v>316008</v>
      </c>
      <c r="G4" s="56">
        <f t="shared" ref="G4" si="1">F4*E4</f>
        <v>316008</v>
      </c>
      <c r="H4" s="43">
        <v>2700</v>
      </c>
      <c r="I4" s="44"/>
      <c r="J4" s="45">
        <v>2510</v>
      </c>
    </row>
    <row r="5" spans="1:11" ht="12.75" x14ac:dyDescent="0.15">
      <c r="A5" s="51">
        <v>4</v>
      </c>
      <c r="B5" s="337" t="s">
        <v>7</v>
      </c>
      <c r="C5" s="337"/>
      <c r="D5" s="337"/>
      <c r="E5" s="337"/>
      <c r="F5" s="337"/>
      <c r="G5" s="57">
        <f>SUM(G2:G4)</f>
        <v>1720488</v>
      </c>
      <c r="H5" s="46"/>
      <c r="I5" s="46"/>
      <c r="J5" s="47"/>
    </row>
    <row r="6" spans="1:11" ht="12.75" x14ac:dyDescent="0.15">
      <c r="A6" s="51">
        <v>5</v>
      </c>
      <c r="B6" s="337" t="s">
        <v>402</v>
      </c>
      <c r="C6" s="337"/>
      <c r="D6" s="337"/>
      <c r="E6" s="337"/>
      <c r="F6" s="337"/>
      <c r="G6" s="57">
        <f>G5*18%</f>
        <v>309687.83999999997</v>
      </c>
    </row>
    <row r="7" spans="1:11" ht="12.75" x14ac:dyDescent="0.15">
      <c r="A7" s="51">
        <v>6</v>
      </c>
      <c r="B7" s="337" t="s">
        <v>8</v>
      </c>
      <c r="C7" s="337"/>
      <c r="D7" s="337"/>
      <c r="E7" s="337"/>
      <c r="F7" s="337"/>
      <c r="G7" s="57">
        <f>G6+G5</f>
        <v>2030175.8399999999</v>
      </c>
    </row>
    <row r="8" spans="1:11" ht="12.75" x14ac:dyDescent="0.15">
      <c r="A8" s="344"/>
      <c r="B8" s="345"/>
      <c r="C8" s="345"/>
      <c r="D8" s="345"/>
      <c r="E8" s="345"/>
      <c r="F8" s="345"/>
      <c r="G8" s="346"/>
    </row>
    <row r="9" spans="1:11" ht="140.25" x14ac:dyDescent="0.15">
      <c r="A9" s="58" t="s">
        <v>9</v>
      </c>
      <c r="B9" s="335" t="s">
        <v>108</v>
      </c>
      <c r="C9" s="335"/>
      <c r="D9" s="335"/>
      <c r="E9" s="335"/>
      <c r="F9" s="335"/>
      <c r="G9" s="336"/>
    </row>
    <row r="10" spans="1:11" ht="12.75" x14ac:dyDescent="0.2">
      <c r="A10" s="59"/>
      <c r="B10" s="59"/>
      <c r="C10" s="59"/>
      <c r="D10" s="59"/>
      <c r="E10" s="59"/>
      <c r="F10" s="59"/>
      <c r="G10" s="59"/>
    </row>
    <row r="11" spans="1:11" ht="12.75" x14ac:dyDescent="0.2">
      <c r="A11" s="59"/>
      <c r="B11" s="59"/>
      <c r="C11" s="59"/>
      <c r="D11" s="59"/>
      <c r="E11" s="59"/>
      <c r="F11" s="59"/>
      <c r="G11" s="59"/>
    </row>
    <row r="12" spans="1:11" ht="12.75" x14ac:dyDescent="0.2">
      <c r="A12" s="59"/>
      <c r="B12" s="59"/>
      <c r="C12" s="59"/>
      <c r="D12" s="59"/>
      <c r="E12" s="59"/>
      <c r="F12" s="59"/>
      <c r="G12" s="59"/>
    </row>
    <row r="13" spans="1:11" ht="12.75" x14ac:dyDescent="0.2">
      <c r="A13" s="59"/>
      <c r="B13" s="59"/>
      <c r="C13" s="59"/>
      <c r="D13" s="59"/>
      <c r="E13" s="59"/>
      <c r="F13" s="59"/>
      <c r="G13" s="59"/>
    </row>
    <row r="14" spans="1:11" ht="12.75" x14ac:dyDescent="0.2">
      <c r="A14" s="59"/>
      <c r="B14" s="59"/>
      <c r="C14" s="59"/>
      <c r="D14" s="59"/>
      <c r="E14" s="59"/>
      <c r="F14" s="59"/>
      <c r="G14" s="59"/>
    </row>
    <row r="15" spans="1:11" ht="12.75" x14ac:dyDescent="0.2">
      <c r="A15" s="59"/>
      <c r="B15" s="59"/>
      <c r="C15" s="59"/>
      <c r="D15" s="59"/>
      <c r="E15" s="59"/>
      <c r="F15" s="59"/>
      <c r="G15" s="59"/>
    </row>
    <row r="16" spans="1:11" s="1" customFormat="1" ht="12.75" x14ac:dyDescent="0.2">
      <c r="A16" s="59"/>
      <c r="B16" s="59"/>
      <c r="C16" s="59"/>
      <c r="D16" s="59"/>
      <c r="E16" s="59"/>
      <c r="F16" s="59"/>
      <c r="G16" s="59"/>
      <c r="I16" s="12"/>
      <c r="J16" s="4"/>
      <c r="K16" s="4"/>
    </row>
  </sheetData>
  <mergeCells count="5">
    <mergeCell ref="B5:F5"/>
    <mergeCell ref="B6:F6"/>
    <mergeCell ref="B7:F7"/>
    <mergeCell ref="A8:G8"/>
    <mergeCell ref="B9:G9"/>
  </mergeCells>
  <printOptions horizontalCentered="1"/>
  <pageMargins left="0.25" right="0.25" top="0.5" bottom="0.5" header="0.3" footer="0.05"/>
  <pageSetup orientation="landscape" horizontalDpi="4294967292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K15"/>
  <sheetViews>
    <sheetView view="pageBreakPreview" zoomScaleSheetLayoutView="100" workbookViewId="0">
      <selection activeCell="H2" sqref="H2"/>
    </sheetView>
  </sheetViews>
  <sheetFormatPr defaultColWidth="9.140625" defaultRowHeight="11.25" x14ac:dyDescent="0.15"/>
  <cols>
    <col min="1" max="1" width="5.85546875" style="4" bestFit="1" customWidth="1"/>
    <col min="2" max="2" width="12.5703125" style="4" customWidth="1"/>
    <col min="3" max="3" width="50.42578125" style="4" customWidth="1"/>
    <col min="4" max="4" width="5" style="4" bestFit="1" customWidth="1"/>
    <col min="5" max="5" width="6.28515625" style="4" bestFit="1" customWidth="1"/>
    <col min="6" max="6" width="11.5703125" style="4" bestFit="1" customWidth="1"/>
    <col min="7" max="7" width="16.5703125" style="4" bestFit="1" customWidth="1"/>
    <col min="8" max="8" width="9.140625" style="1"/>
    <col min="9" max="9" width="10.5703125" style="12" bestFit="1" customWidth="1"/>
    <col min="10" max="10" width="13.28515625" style="4" bestFit="1" customWidth="1"/>
    <col min="11" max="16384" width="9.140625" style="4"/>
  </cols>
  <sheetData>
    <row r="1" spans="1:11" ht="25.5" x14ac:dyDescent="0.15">
      <c r="A1" s="48" t="s">
        <v>0</v>
      </c>
      <c r="B1" s="49" t="s">
        <v>5</v>
      </c>
      <c r="C1" s="49" t="s">
        <v>2</v>
      </c>
      <c r="D1" s="49" t="s">
        <v>3</v>
      </c>
      <c r="E1" s="49" t="s">
        <v>13</v>
      </c>
      <c r="F1" s="50" t="s">
        <v>11</v>
      </c>
      <c r="G1" s="50" t="s">
        <v>12</v>
      </c>
      <c r="H1" s="40" t="s">
        <v>17</v>
      </c>
      <c r="I1" s="41" t="s">
        <v>14</v>
      </c>
      <c r="J1" s="42" t="s">
        <v>110</v>
      </c>
      <c r="K1" s="4" t="s">
        <v>107</v>
      </c>
    </row>
    <row r="2" spans="1:11" ht="38.25" x14ac:dyDescent="0.15">
      <c r="A2" s="51">
        <v>1</v>
      </c>
      <c r="B2" s="51" t="s">
        <v>269</v>
      </c>
      <c r="C2" s="53" t="s">
        <v>405</v>
      </c>
      <c r="D2" s="54" t="s">
        <v>109</v>
      </c>
      <c r="E2" s="51">
        <v>20</v>
      </c>
      <c r="F2" s="55">
        <f>88*1.33*H2</f>
        <v>9012.08</v>
      </c>
      <c r="G2" s="56">
        <f t="shared" ref="G2" si="0">F2*E2</f>
        <v>180241.6</v>
      </c>
      <c r="H2" s="43">
        <v>77</v>
      </c>
      <c r="I2" s="44"/>
      <c r="J2" s="45">
        <v>66</v>
      </c>
    </row>
    <row r="3" spans="1:11" ht="51" x14ac:dyDescent="0.15">
      <c r="A3" s="51">
        <v>1</v>
      </c>
      <c r="B3" s="51" t="s">
        <v>269</v>
      </c>
      <c r="C3" s="53" t="s">
        <v>403</v>
      </c>
      <c r="D3" s="54" t="s">
        <v>109</v>
      </c>
      <c r="E3" s="51">
        <v>80</v>
      </c>
      <c r="F3" s="55">
        <f>88*1.33*H3</f>
        <v>2457.84</v>
      </c>
      <c r="G3" s="56">
        <f t="shared" ref="G3" si="1">F3*E3</f>
        <v>196627.20000000001</v>
      </c>
      <c r="H3" s="43">
        <v>21</v>
      </c>
      <c r="I3" s="44">
        <f>91/7</f>
        <v>13</v>
      </c>
      <c r="J3" s="45">
        <v>15</v>
      </c>
    </row>
    <row r="4" spans="1:11" ht="12.75" x14ac:dyDescent="0.15">
      <c r="A4" s="51">
        <v>2</v>
      </c>
      <c r="B4" s="337" t="s">
        <v>7</v>
      </c>
      <c r="C4" s="337"/>
      <c r="D4" s="337"/>
      <c r="E4" s="337"/>
      <c r="F4" s="337"/>
      <c r="G4" s="57">
        <f>SUM(G3:G3)</f>
        <v>196627.20000000001</v>
      </c>
      <c r="H4" s="46"/>
      <c r="I4" s="46"/>
      <c r="J4" s="47"/>
    </row>
    <row r="5" spans="1:11" ht="12.75" x14ac:dyDescent="0.15">
      <c r="A5" s="51">
        <v>4</v>
      </c>
      <c r="B5" s="337" t="s">
        <v>388</v>
      </c>
      <c r="C5" s="337"/>
      <c r="D5" s="337"/>
      <c r="E5" s="337"/>
      <c r="F5" s="337"/>
      <c r="G5" s="57">
        <f>G4*18%</f>
        <v>35392.896000000001</v>
      </c>
    </row>
    <row r="6" spans="1:11" ht="12.75" x14ac:dyDescent="0.15">
      <c r="A6" s="51">
        <v>4</v>
      </c>
      <c r="B6" s="337" t="s">
        <v>8</v>
      </c>
      <c r="C6" s="337"/>
      <c r="D6" s="337"/>
      <c r="E6" s="337"/>
      <c r="F6" s="337"/>
      <c r="G6" s="57">
        <f>G5+G4</f>
        <v>232020.09600000002</v>
      </c>
    </row>
    <row r="7" spans="1:11" ht="12.75" x14ac:dyDescent="0.15">
      <c r="A7" s="344"/>
      <c r="B7" s="345"/>
      <c r="C7" s="345"/>
      <c r="D7" s="345"/>
      <c r="E7" s="345"/>
      <c r="F7" s="345"/>
      <c r="G7" s="346"/>
    </row>
    <row r="8" spans="1:11" ht="140.25" x14ac:dyDescent="0.15">
      <c r="A8" s="58" t="s">
        <v>9</v>
      </c>
      <c r="B8" s="335" t="s">
        <v>108</v>
      </c>
      <c r="C8" s="335"/>
      <c r="D8" s="335"/>
      <c r="E8" s="335"/>
      <c r="F8" s="335"/>
      <c r="G8" s="336"/>
    </row>
    <row r="9" spans="1:11" ht="12.75" x14ac:dyDescent="0.2">
      <c r="A9" s="59"/>
      <c r="B9" s="59"/>
      <c r="C9" s="59"/>
      <c r="D9" s="59"/>
      <c r="E9" s="59"/>
      <c r="F9" s="59"/>
      <c r="G9" s="59"/>
    </row>
    <row r="10" spans="1:11" ht="12.75" x14ac:dyDescent="0.2">
      <c r="A10" s="59"/>
      <c r="B10" s="59"/>
      <c r="C10" s="59"/>
      <c r="D10" s="59"/>
      <c r="E10" s="59"/>
      <c r="F10" s="59"/>
      <c r="G10" s="59"/>
    </row>
    <row r="11" spans="1:11" ht="12.75" x14ac:dyDescent="0.2">
      <c r="A11" s="59"/>
      <c r="B11" s="59"/>
      <c r="C11" s="59"/>
      <c r="D11" s="59"/>
      <c r="E11" s="59"/>
      <c r="F11" s="59"/>
      <c r="G11" s="59"/>
    </row>
    <row r="12" spans="1:11" ht="12.75" x14ac:dyDescent="0.2">
      <c r="A12" s="59"/>
      <c r="B12" s="59"/>
      <c r="C12" s="59"/>
      <c r="D12" s="59"/>
      <c r="E12" s="59"/>
      <c r="F12" s="59"/>
      <c r="G12" s="59"/>
    </row>
    <row r="13" spans="1:11" ht="12.75" x14ac:dyDescent="0.2">
      <c r="A13" s="59"/>
      <c r="B13" s="59"/>
      <c r="C13" s="59"/>
      <c r="D13" s="59"/>
      <c r="E13" s="59"/>
      <c r="F13" s="59"/>
      <c r="G13" s="59"/>
    </row>
    <row r="14" spans="1:11" ht="12.75" x14ac:dyDescent="0.2">
      <c r="A14" s="59"/>
      <c r="B14" s="59"/>
      <c r="C14" s="59"/>
      <c r="D14" s="59"/>
      <c r="E14" s="59"/>
      <c r="F14" s="59"/>
      <c r="G14" s="59"/>
    </row>
    <row r="15" spans="1:11" s="1" customFormat="1" ht="12.75" x14ac:dyDescent="0.2">
      <c r="A15" s="59"/>
      <c r="B15" s="59"/>
      <c r="C15" s="59"/>
      <c r="D15" s="59"/>
      <c r="E15" s="59"/>
      <c r="F15" s="59"/>
      <c r="G15" s="59"/>
      <c r="I15" s="12"/>
      <c r="J15" s="4"/>
      <c r="K15" s="4"/>
    </row>
  </sheetData>
  <mergeCells count="5">
    <mergeCell ref="B4:F4"/>
    <mergeCell ref="B5:F5"/>
    <mergeCell ref="B6:F6"/>
    <mergeCell ref="A7:G7"/>
    <mergeCell ref="B8:G8"/>
  </mergeCells>
  <printOptions horizontalCentered="1"/>
  <pageMargins left="0.25" right="0.25" top="0.5" bottom="0.5" header="0.3" footer="0.05"/>
  <pageSetup orientation="landscape" horizontalDpi="4294967292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K14"/>
  <sheetViews>
    <sheetView view="pageBreakPreview" zoomScaleSheetLayoutView="100" workbookViewId="0">
      <selection sqref="A1:G7"/>
    </sheetView>
  </sheetViews>
  <sheetFormatPr defaultColWidth="9.140625" defaultRowHeight="11.25" x14ac:dyDescent="0.15"/>
  <cols>
    <col min="1" max="1" width="5.85546875" style="4" bestFit="1" customWidth="1"/>
    <col min="2" max="2" width="12.5703125" style="4" customWidth="1"/>
    <col min="3" max="3" width="50.42578125" style="4" customWidth="1"/>
    <col min="4" max="4" width="5" style="4" bestFit="1" customWidth="1"/>
    <col min="5" max="5" width="6.28515625" style="4" bestFit="1" customWidth="1"/>
    <col min="6" max="6" width="11.5703125" style="4" bestFit="1" customWidth="1"/>
    <col min="7" max="7" width="16.5703125" style="4" bestFit="1" customWidth="1"/>
    <col min="8" max="8" width="9.140625" style="1"/>
    <col min="9" max="9" width="10.5703125" style="12" bestFit="1" customWidth="1"/>
    <col min="10" max="10" width="13.28515625" style="4" bestFit="1" customWidth="1"/>
    <col min="11" max="16384" width="9.140625" style="4"/>
  </cols>
  <sheetData>
    <row r="1" spans="1:11" ht="25.5" x14ac:dyDescent="0.15">
      <c r="A1" s="48" t="s">
        <v>0</v>
      </c>
      <c r="B1" s="49" t="s">
        <v>5</v>
      </c>
      <c r="C1" s="49" t="s">
        <v>2</v>
      </c>
      <c r="D1" s="49" t="s">
        <v>3</v>
      </c>
      <c r="E1" s="49" t="s">
        <v>13</v>
      </c>
      <c r="F1" s="50" t="s">
        <v>11</v>
      </c>
      <c r="G1" s="50" t="s">
        <v>12</v>
      </c>
      <c r="H1" s="40" t="s">
        <v>17</v>
      </c>
      <c r="I1" s="41" t="s">
        <v>14</v>
      </c>
      <c r="J1" s="42" t="s">
        <v>110</v>
      </c>
      <c r="K1" s="4" t="s">
        <v>107</v>
      </c>
    </row>
    <row r="2" spans="1:11" ht="38.25" x14ac:dyDescent="0.15">
      <c r="A2" s="51">
        <v>1</v>
      </c>
      <c r="B2" s="51">
        <v>4000007442</v>
      </c>
      <c r="C2" s="53" t="s">
        <v>404</v>
      </c>
      <c r="D2" s="54" t="s">
        <v>109</v>
      </c>
      <c r="E2" s="51">
        <v>2</v>
      </c>
      <c r="F2" s="55">
        <f>88*1.3*H2</f>
        <v>228800</v>
      </c>
      <c r="G2" s="56">
        <f t="shared" ref="G2" si="0">F2*E2</f>
        <v>457600</v>
      </c>
      <c r="H2" s="43">
        <f>J2</f>
        <v>2000</v>
      </c>
      <c r="I2" s="44"/>
      <c r="J2" s="45">
        <v>2000</v>
      </c>
    </row>
    <row r="3" spans="1:11" ht="12.75" x14ac:dyDescent="0.15">
      <c r="A3" s="51">
        <v>2</v>
      </c>
      <c r="B3" s="337" t="s">
        <v>7</v>
      </c>
      <c r="C3" s="337"/>
      <c r="D3" s="337"/>
      <c r="E3" s="337"/>
      <c r="F3" s="337"/>
      <c r="G3" s="57">
        <f>SUM(G2:G2)</f>
        <v>457600</v>
      </c>
      <c r="H3" s="46"/>
      <c r="I3" s="46"/>
      <c r="J3" s="47"/>
    </row>
    <row r="4" spans="1:11" ht="12.75" x14ac:dyDescent="0.15">
      <c r="A4" s="51">
        <v>3</v>
      </c>
      <c r="B4" s="337" t="s">
        <v>388</v>
      </c>
      <c r="C4" s="337"/>
      <c r="D4" s="337"/>
      <c r="E4" s="337"/>
      <c r="F4" s="337"/>
      <c r="G4" s="57">
        <f>G3*18%</f>
        <v>82368</v>
      </c>
    </row>
    <row r="5" spans="1:11" ht="12.75" x14ac:dyDescent="0.15">
      <c r="A5" s="51">
        <v>4</v>
      </c>
      <c r="B5" s="337" t="s">
        <v>8</v>
      </c>
      <c r="C5" s="337"/>
      <c r="D5" s="337"/>
      <c r="E5" s="337"/>
      <c r="F5" s="337"/>
      <c r="G5" s="57">
        <f>G4+G3</f>
        <v>539968</v>
      </c>
    </row>
    <row r="6" spans="1:11" ht="12.75" x14ac:dyDescent="0.15">
      <c r="A6" s="344"/>
      <c r="B6" s="345"/>
      <c r="C6" s="345"/>
      <c r="D6" s="345"/>
      <c r="E6" s="345"/>
      <c r="F6" s="345"/>
      <c r="G6" s="346"/>
    </row>
    <row r="7" spans="1:11" ht="140.25" x14ac:dyDescent="0.15">
      <c r="A7" s="58" t="s">
        <v>9</v>
      </c>
      <c r="B7" s="335" t="s">
        <v>108</v>
      </c>
      <c r="C7" s="335"/>
      <c r="D7" s="335"/>
      <c r="E7" s="335"/>
      <c r="F7" s="335"/>
      <c r="G7" s="336"/>
    </row>
    <row r="8" spans="1:11" ht="12.75" x14ac:dyDescent="0.2">
      <c r="A8" s="59"/>
      <c r="B8" s="59"/>
      <c r="C8" s="59"/>
      <c r="D8" s="59"/>
      <c r="E8" s="59"/>
      <c r="F8" s="59"/>
      <c r="G8" s="59"/>
    </row>
    <row r="9" spans="1:11" ht="12.75" x14ac:dyDescent="0.2">
      <c r="A9" s="59"/>
      <c r="B9" s="59"/>
      <c r="C9" s="59"/>
      <c r="D9" s="59"/>
      <c r="E9" s="59"/>
      <c r="F9" s="59"/>
      <c r="G9" s="59"/>
    </row>
    <row r="10" spans="1:11" ht="12.75" x14ac:dyDescent="0.2">
      <c r="A10" s="59"/>
      <c r="B10" s="59"/>
      <c r="C10" s="59"/>
      <c r="D10" s="59"/>
      <c r="E10" s="59"/>
      <c r="F10" s="59"/>
      <c r="G10" s="59"/>
    </row>
    <row r="11" spans="1:11" ht="12.75" x14ac:dyDescent="0.2">
      <c r="A11" s="59"/>
      <c r="B11" s="59"/>
      <c r="C11" s="59"/>
      <c r="D11" s="59"/>
      <c r="E11" s="59"/>
      <c r="F11" s="59"/>
      <c r="G11" s="59"/>
    </row>
    <row r="12" spans="1:11" ht="12.75" x14ac:dyDescent="0.2">
      <c r="A12" s="59"/>
      <c r="B12" s="59"/>
      <c r="C12" s="59"/>
      <c r="D12" s="59"/>
      <c r="E12" s="59"/>
      <c r="F12" s="59"/>
      <c r="G12" s="59"/>
    </row>
    <row r="13" spans="1:11" ht="12.75" x14ac:dyDescent="0.2">
      <c r="A13" s="59"/>
      <c r="B13" s="59"/>
      <c r="C13" s="59"/>
      <c r="D13" s="59"/>
      <c r="E13" s="59"/>
      <c r="F13" s="59"/>
      <c r="G13" s="59"/>
    </row>
    <row r="14" spans="1:11" s="1" customFormat="1" ht="12.75" x14ac:dyDescent="0.2">
      <c r="A14" s="59"/>
      <c r="B14" s="59"/>
      <c r="C14" s="59"/>
      <c r="D14" s="59"/>
      <c r="E14" s="59"/>
      <c r="F14" s="59"/>
      <c r="G14" s="59"/>
      <c r="I14" s="12"/>
      <c r="J14" s="4"/>
      <c r="K14" s="4"/>
    </row>
  </sheetData>
  <mergeCells count="5">
    <mergeCell ref="B3:F3"/>
    <mergeCell ref="B4:F4"/>
    <mergeCell ref="B5:F5"/>
    <mergeCell ref="A6:G6"/>
    <mergeCell ref="B7:G7"/>
  </mergeCells>
  <printOptions horizontalCentered="1"/>
  <pageMargins left="0.25" right="0.25" top="0.5" bottom="0.5" header="0.3" footer="0.05"/>
  <pageSetup orientation="landscape" horizontalDpi="4294967292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K14"/>
  <sheetViews>
    <sheetView view="pageBreakPreview" zoomScaleSheetLayoutView="100" workbookViewId="0">
      <selection activeCell="J1" sqref="J1"/>
    </sheetView>
  </sheetViews>
  <sheetFormatPr defaultColWidth="9.140625" defaultRowHeight="11.25" x14ac:dyDescent="0.15"/>
  <cols>
    <col min="1" max="1" width="5.85546875" style="4" bestFit="1" customWidth="1"/>
    <col min="2" max="2" width="12.5703125" style="4" customWidth="1"/>
    <col min="3" max="3" width="50.42578125" style="4" customWidth="1"/>
    <col min="4" max="4" width="5" style="4" bestFit="1" customWidth="1"/>
    <col min="5" max="5" width="6.28515625" style="4" bestFit="1" customWidth="1"/>
    <col min="6" max="6" width="11.5703125" style="4" bestFit="1" customWidth="1"/>
    <col min="7" max="7" width="16.5703125" style="4" bestFit="1" customWidth="1"/>
    <col min="8" max="8" width="9.140625" style="1"/>
    <col min="9" max="9" width="10.5703125" style="12" bestFit="1" customWidth="1"/>
    <col min="10" max="10" width="13.28515625" style="4" bestFit="1" customWidth="1"/>
    <col min="11" max="16384" width="9.140625" style="4"/>
  </cols>
  <sheetData>
    <row r="1" spans="1:11" ht="25.5" x14ac:dyDescent="0.15">
      <c r="A1" s="48" t="s">
        <v>0</v>
      </c>
      <c r="B1" s="49" t="s">
        <v>5</v>
      </c>
      <c r="C1" s="49" t="s">
        <v>2</v>
      </c>
      <c r="D1" s="49" t="s">
        <v>3</v>
      </c>
      <c r="E1" s="49" t="s">
        <v>13</v>
      </c>
      <c r="F1" s="50" t="s">
        <v>11</v>
      </c>
      <c r="G1" s="50" t="s">
        <v>12</v>
      </c>
      <c r="H1" s="40" t="s">
        <v>17</v>
      </c>
      <c r="I1" s="41" t="s">
        <v>10</v>
      </c>
      <c r="J1" s="42" t="s">
        <v>110</v>
      </c>
      <c r="K1" s="4" t="s">
        <v>107</v>
      </c>
    </row>
    <row r="2" spans="1:11" ht="63.75" x14ac:dyDescent="0.15">
      <c r="A2" s="51">
        <v>1</v>
      </c>
      <c r="B2" s="51" t="s">
        <v>269</v>
      </c>
      <c r="C2" s="53" t="s">
        <v>406</v>
      </c>
      <c r="D2" s="54" t="s">
        <v>109</v>
      </c>
      <c r="E2" s="51">
        <v>2</v>
      </c>
      <c r="F2" s="55">
        <f>88*1.3*H2</f>
        <v>137280</v>
      </c>
      <c r="G2" s="56">
        <f t="shared" ref="G2" si="0">F2*E2</f>
        <v>274560</v>
      </c>
      <c r="H2" s="43">
        <v>1200</v>
      </c>
      <c r="I2" s="44">
        <v>1195</v>
      </c>
      <c r="J2" s="45">
        <v>1120</v>
      </c>
    </row>
    <row r="3" spans="1:11" ht="12.75" x14ac:dyDescent="0.15">
      <c r="A3" s="51">
        <v>2</v>
      </c>
      <c r="B3" s="337" t="s">
        <v>7</v>
      </c>
      <c r="C3" s="337"/>
      <c r="D3" s="337"/>
      <c r="E3" s="337"/>
      <c r="F3" s="337"/>
      <c r="G3" s="57">
        <f>SUM(G2:G2)</f>
        <v>274560</v>
      </c>
      <c r="H3" s="46"/>
      <c r="I3" s="46"/>
      <c r="J3" s="47"/>
    </row>
    <row r="4" spans="1:11" ht="12.75" x14ac:dyDescent="0.15">
      <c r="A4" s="51">
        <v>3</v>
      </c>
      <c r="B4" s="337" t="s">
        <v>100</v>
      </c>
      <c r="C4" s="337"/>
      <c r="D4" s="337"/>
      <c r="E4" s="337"/>
      <c r="F4" s="337"/>
      <c r="G4" s="57">
        <f>G3*18%</f>
        <v>49420.799999999996</v>
      </c>
    </row>
    <row r="5" spans="1:11" ht="12.75" x14ac:dyDescent="0.15">
      <c r="A5" s="51">
        <v>4</v>
      </c>
      <c r="B5" s="337" t="s">
        <v>8</v>
      </c>
      <c r="C5" s="337"/>
      <c r="D5" s="337"/>
      <c r="E5" s="337"/>
      <c r="F5" s="337"/>
      <c r="G5" s="57">
        <f>G4+G3</f>
        <v>323980.79999999999</v>
      </c>
    </row>
    <row r="6" spans="1:11" ht="12.75" x14ac:dyDescent="0.15">
      <c r="A6" s="344"/>
      <c r="B6" s="345"/>
      <c r="C6" s="345"/>
      <c r="D6" s="345"/>
      <c r="E6" s="345"/>
      <c r="F6" s="345"/>
      <c r="G6" s="346"/>
    </row>
    <row r="7" spans="1:11" ht="140.25" x14ac:dyDescent="0.15">
      <c r="A7" s="58" t="s">
        <v>9</v>
      </c>
      <c r="B7" s="335" t="s">
        <v>108</v>
      </c>
      <c r="C7" s="335"/>
      <c r="D7" s="335"/>
      <c r="E7" s="335"/>
      <c r="F7" s="335"/>
      <c r="G7" s="336"/>
    </row>
    <row r="8" spans="1:11" ht="12.75" x14ac:dyDescent="0.2">
      <c r="A8" s="59"/>
      <c r="B8" s="59"/>
      <c r="C8" s="59"/>
      <c r="D8" s="59"/>
      <c r="E8" s="59"/>
      <c r="F8" s="59"/>
      <c r="G8" s="59"/>
    </row>
    <row r="9" spans="1:11" ht="12.75" x14ac:dyDescent="0.2">
      <c r="A9" s="59"/>
      <c r="B9" s="59"/>
      <c r="C9" s="59"/>
      <c r="D9" s="59"/>
      <c r="E9" s="59"/>
      <c r="F9" s="59"/>
      <c r="G9" s="59"/>
    </row>
    <row r="10" spans="1:11" ht="12.75" x14ac:dyDescent="0.2">
      <c r="A10" s="59"/>
      <c r="B10" s="59"/>
      <c r="C10" s="59"/>
      <c r="D10" s="59"/>
      <c r="E10" s="59"/>
      <c r="F10" s="59"/>
      <c r="G10" s="59"/>
    </row>
    <row r="11" spans="1:11" ht="12.75" x14ac:dyDescent="0.2">
      <c r="A11" s="59"/>
      <c r="B11" s="59"/>
      <c r="C11" s="59"/>
      <c r="D11" s="59"/>
      <c r="E11" s="59"/>
      <c r="F11" s="59"/>
      <c r="G11" s="59"/>
    </row>
    <row r="12" spans="1:11" ht="12.75" x14ac:dyDescent="0.2">
      <c r="A12" s="59"/>
      <c r="B12" s="59"/>
      <c r="C12" s="59"/>
      <c r="D12" s="59"/>
      <c r="E12" s="59"/>
      <c r="F12" s="59"/>
      <c r="G12" s="59"/>
    </row>
    <row r="13" spans="1:11" ht="12.75" x14ac:dyDescent="0.2">
      <c r="A13" s="59"/>
      <c r="B13" s="59"/>
      <c r="C13" s="59"/>
      <c r="D13" s="59"/>
      <c r="E13" s="59"/>
      <c r="F13" s="59"/>
      <c r="G13" s="59"/>
    </row>
    <row r="14" spans="1:11" s="1" customFormat="1" ht="12.75" x14ac:dyDescent="0.2">
      <c r="A14" s="59"/>
      <c r="B14" s="59"/>
      <c r="C14" s="59"/>
      <c r="D14" s="59"/>
      <c r="E14" s="59"/>
      <c r="F14" s="59"/>
      <c r="G14" s="59"/>
      <c r="I14" s="12"/>
      <c r="J14" s="4"/>
      <c r="K14" s="4"/>
    </row>
  </sheetData>
  <mergeCells count="5">
    <mergeCell ref="B3:F3"/>
    <mergeCell ref="B4:F4"/>
    <mergeCell ref="B5:F5"/>
    <mergeCell ref="A6:G6"/>
    <mergeCell ref="B7:G7"/>
  </mergeCells>
  <printOptions horizontalCentered="1"/>
  <pageMargins left="0.25" right="0.25" top="0.5" bottom="0.5" header="0.3" footer="0.05"/>
  <pageSetup orientation="landscape" horizontalDpi="4294967292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K21"/>
  <sheetViews>
    <sheetView view="pageBreakPreview" zoomScaleSheetLayoutView="100" workbookViewId="0">
      <selection activeCell="C2" sqref="C2"/>
    </sheetView>
  </sheetViews>
  <sheetFormatPr defaultColWidth="9.140625" defaultRowHeight="11.25" x14ac:dyDescent="0.15"/>
  <cols>
    <col min="1" max="1" width="5.85546875" style="4" bestFit="1" customWidth="1"/>
    <col min="2" max="2" width="12.5703125" style="4" customWidth="1"/>
    <col min="3" max="3" width="50.42578125" style="4" customWidth="1"/>
    <col min="4" max="4" width="5" style="4" bestFit="1" customWidth="1"/>
    <col min="5" max="5" width="6.28515625" style="4" bestFit="1" customWidth="1"/>
    <col min="6" max="6" width="11.5703125" style="4" bestFit="1" customWidth="1"/>
    <col min="7" max="7" width="16.5703125" style="4" bestFit="1" customWidth="1"/>
    <col min="8" max="8" width="9.140625" style="1"/>
    <col min="9" max="9" width="10.5703125" style="12" bestFit="1" customWidth="1"/>
    <col min="10" max="10" width="13.28515625" style="4" bestFit="1" customWidth="1"/>
    <col min="11" max="16384" width="9.140625" style="4"/>
  </cols>
  <sheetData>
    <row r="1" spans="1:11" ht="25.5" x14ac:dyDescent="0.15">
      <c r="A1" s="48" t="s">
        <v>0</v>
      </c>
      <c r="B1" s="49" t="s">
        <v>5</v>
      </c>
      <c r="C1" s="49" t="s">
        <v>2</v>
      </c>
      <c r="D1" s="49" t="s">
        <v>3</v>
      </c>
      <c r="E1" s="49" t="s">
        <v>13</v>
      </c>
      <c r="F1" s="50" t="s">
        <v>11</v>
      </c>
      <c r="G1" s="50" t="s">
        <v>12</v>
      </c>
      <c r="H1" s="40" t="s">
        <v>17</v>
      </c>
      <c r="I1" s="41" t="s">
        <v>10</v>
      </c>
      <c r="J1" s="42" t="s">
        <v>110</v>
      </c>
      <c r="K1" s="4" t="s">
        <v>107</v>
      </c>
    </row>
    <row r="2" spans="1:11" ht="25.5" x14ac:dyDescent="0.15">
      <c r="A2" s="51">
        <v>1</v>
      </c>
      <c r="B2" s="51">
        <v>3602000137</v>
      </c>
      <c r="C2" s="53" t="s">
        <v>407</v>
      </c>
      <c r="D2" s="54" t="s">
        <v>109</v>
      </c>
      <c r="E2" s="51">
        <v>2</v>
      </c>
      <c r="F2" s="55">
        <v>4250</v>
      </c>
      <c r="G2" s="56">
        <f t="shared" ref="G2:G6" si="0">F2*E2</f>
        <v>8500</v>
      </c>
      <c r="H2" s="43"/>
      <c r="I2" s="44"/>
      <c r="J2" s="45"/>
    </row>
    <row r="3" spans="1:11" ht="12.75" x14ac:dyDescent="0.15">
      <c r="A3" s="51">
        <v>2</v>
      </c>
      <c r="B3" s="51">
        <v>7201000002</v>
      </c>
      <c r="C3" s="53" t="s">
        <v>408</v>
      </c>
      <c r="D3" s="54" t="s">
        <v>109</v>
      </c>
      <c r="E3" s="51">
        <v>14</v>
      </c>
      <c r="F3" s="55">
        <f t="shared" ref="F3" si="1">88*1.3*H3</f>
        <v>33176</v>
      </c>
      <c r="G3" s="56">
        <f t="shared" si="0"/>
        <v>464464</v>
      </c>
      <c r="H3" s="43">
        <v>290</v>
      </c>
      <c r="I3" s="44"/>
      <c r="J3" s="45"/>
    </row>
    <row r="4" spans="1:11" ht="25.5" x14ac:dyDescent="0.15">
      <c r="A4" s="51">
        <v>3</v>
      </c>
      <c r="B4" s="51">
        <v>6001000041</v>
      </c>
      <c r="C4" s="53" t="s">
        <v>409</v>
      </c>
      <c r="D4" s="54" t="s">
        <v>109</v>
      </c>
      <c r="E4" s="51">
        <v>64</v>
      </c>
      <c r="F4" s="55">
        <v>2800</v>
      </c>
      <c r="G4" s="56">
        <f t="shared" si="0"/>
        <v>179200</v>
      </c>
      <c r="H4" s="43"/>
      <c r="I4" s="44"/>
      <c r="J4" s="45"/>
    </row>
    <row r="5" spans="1:11" ht="25.5" x14ac:dyDescent="0.15">
      <c r="A5" s="51">
        <v>4</v>
      </c>
      <c r="B5" s="51">
        <v>6001000042</v>
      </c>
      <c r="C5" s="53" t="s">
        <v>410</v>
      </c>
      <c r="D5" s="54" t="s">
        <v>109</v>
      </c>
      <c r="E5" s="51">
        <v>64</v>
      </c>
      <c r="F5" s="55">
        <v>4000</v>
      </c>
      <c r="G5" s="56">
        <f t="shared" si="0"/>
        <v>256000</v>
      </c>
      <c r="H5" s="43"/>
      <c r="I5" s="44"/>
      <c r="J5" s="45"/>
    </row>
    <row r="6" spans="1:11" ht="38.25" x14ac:dyDescent="0.15">
      <c r="A6" s="51">
        <v>5</v>
      </c>
      <c r="B6" s="51">
        <v>5201030028</v>
      </c>
      <c r="C6" s="53" t="s">
        <v>411</v>
      </c>
      <c r="D6" s="54" t="s">
        <v>109</v>
      </c>
      <c r="E6" s="51">
        <v>60</v>
      </c>
      <c r="F6" s="55">
        <v>11000</v>
      </c>
      <c r="G6" s="56">
        <f t="shared" si="0"/>
        <v>660000</v>
      </c>
      <c r="H6" s="43"/>
      <c r="I6" s="44"/>
      <c r="J6" s="45"/>
    </row>
    <row r="7" spans="1:11" ht="25.5" x14ac:dyDescent="0.15">
      <c r="A7" s="51">
        <v>6</v>
      </c>
      <c r="B7" s="51">
        <v>5002990026</v>
      </c>
      <c r="C7" s="53" t="s">
        <v>412</v>
      </c>
      <c r="D7" s="54" t="s">
        <v>109</v>
      </c>
      <c r="E7" s="51">
        <v>30</v>
      </c>
      <c r="F7" s="55">
        <v>9500</v>
      </c>
      <c r="G7" s="56">
        <f t="shared" ref="G7:G9" si="2">F7*E7</f>
        <v>285000</v>
      </c>
      <c r="H7" s="43"/>
      <c r="I7" s="44"/>
      <c r="J7" s="45"/>
    </row>
    <row r="8" spans="1:11" ht="25.5" x14ac:dyDescent="0.15">
      <c r="A8" s="51">
        <v>7</v>
      </c>
      <c r="B8" s="51">
        <v>5301000001</v>
      </c>
      <c r="C8" s="53" t="s">
        <v>413</v>
      </c>
      <c r="D8" s="54" t="s">
        <v>109</v>
      </c>
      <c r="E8" s="51">
        <v>20</v>
      </c>
      <c r="F8" s="55">
        <f t="shared" ref="F8:F9" si="3">88*1.3*H8</f>
        <v>1601.6000000000001</v>
      </c>
      <c r="G8" s="56">
        <f t="shared" si="2"/>
        <v>32032.000000000004</v>
      </c>
      <c r="H8" s="43">
        <v>14</v>
      </c>
      <c r="I8" s="44"/>
      <c r="J8" s="45"/>
    </row>
    <row r="9" spans="1:11" ht="25.5" x14ac:dyDescent="0.15">
      <c r="A9" s="51">
        <v>8</v>
      </c>
      <c r="B9" s="51">
        <v>5209000243</v>
      </c>
      <c r="C9" s="53" t="s">
        <v>414</v>
      </c>
      <c r="D9" s="54" t="s">
        <v>109</v>
      </c>
      <c r="E9" s="51">
        <v>15</v>
      </c>
      <c r="F9" s="55">
        <f t="shared" si="3"/>
        <v>1601.6000000000001</v>
      </c>
      <c r="G9" s="56">
        <f t="shared" si="2"/>
        <v>24024.000000000004</v>
      </c>
      <c r="H9" s="43">
        <v>14</v>
      </c>
      <c r="I9" s="44"/>
      <c r="J9" s="45"/>
    </row>
    <row r="10" spans="1:11" ht="12.75" x14ac:dyDescent="0.15">
      <c r="A10" s="51">
        <v>9</v>
      </c>
      <c r="B10" s="337" t="s">
        <v>7</v>
      </c>
      <c r="C10" s="337"/>
      <c r="D10" s="337"/>
      <c r="E10" s="337"/>
      <c r="F10" s="337"/>
      <c r="G10" s="57">
        <f>SUM(G2:G9)</f>
        <v>1909220</v>
      </c>
      <c r="H10" s="46"/>
      <c r="I10" s="46"/>
      <c r="J10" s="47"/>
    </row>
    <row r="11" spans="1:11" ht="12.75" x14ac:dyDescent="0.15">
      <c r="A11" s="51">
        <v>10</v>
      </c>
      <c r="B11" s="337" t="s">
        <v>100</v>
      </c>
      <c r="C11" s="337"/>
      <c r="D11" s="337"/>
      <c r="E11" s="337"/>
      <c r="F11" s="337"/>
      <c r="G11" s="57">
        <f>G10*18%</f>
        <v>343659.6</v>
      </c>
    </row>
    <row r="12" spans="1:11" ht="12.75" x14ac:dyDescent="0.15">
      <c r="A12" s="51">
        <v>11</v>
      </c>
      <c r="B12" s="337" t="s">
        <v>8</v>
      </c>
      <c r="C12" s="337"/>
      <c r="D12" s="337"/>
      <c r="E12" s="337"/>
      <c r="F12" s="337"/>
      <c r="G12" s="57">
        <f>G11+G10</f>
        <v>2252879.6</v>
      </c>
    </row>
    <row r="13" spans="1:11" ht="12.75" x14ac:dyDescent="0.15">
      <c r="A13" s="344"/>
      <c r="B13" s="345"/>
      <c r="C13" s="345"/>
      <c r="D13" s="345"/>
      <c r="E13" s="345"/>
      <c r="F13" s="345"/>
      <c r="G13" s="346"/>
    </row>
    <row r="14" spans="1:11" ht="140.25" x14ac:dyDescent="0.15">
      <c r="A14" s="58" t="s">
        <v>9</v>
      </c>
      <c r="B14" s="335" t="s">
        <v>108</v>
      </c>
      <c r="C14" s="335"/>
      <c r="D14" s="335"/>
      <c r="E14" s="335"/>
      <c r="F14" s="335"/>
      <c r="G14" s="336"/>
    </row>
    <row r="15" spans="1:11" ht="12.75" x14ac:dyDescent="0.2">
      <c r="A15" s="59"/>
      <c r="B15" s="59"/>
      <c r="C15" s="59"/>
      <c r="D15" s="59"/>
      <c r="E15" s="59"/>
      <c r="F15" s="59"/>
      <c r="G15" s="59"/>
    </row>
    <row r="16" spans="1:11" ht="12.75" x14ac:dyDescent="0.2">
      <c r="A16" s="59"/>
      <c r="B16" s="59"/>
      <c r="C16" s="59"/>
      <c r="D16" s="59"/>
      <c r="E16" s="59"/>
      <c r="F16" s="59"/>
      <c r="G16" s="59"/>
    </row>
    <row r="17" spans="1:11" ht="12.75" x14ac:dyDescent="0.2">
      <c r="A17" s="59"/>
      <c r="B17" s="59"/>
      <c r="C17" s="59"/>
      <c r="D17" s="59"/>
      <c r="E17" s="59"/>
      <c r="F17" s="59"/>
      <c r="G17" s="59"/>
    </row>
    <row r="18" spans="1:11" ht="12.75" x14ac:dyDescent="0.2">
      <c r="A18" s="59"/>
      <c r="B18" s="59"/>
      <c r="C18" s="59"/>
      <c r="D18" s="59"/>
      <c r="E18" s="59"/>
      <c r="F18" s="59"/>
      <c r="G18" s="59"/>
    </row>
    <row r="19" spans="1:11" ht="12.75" x14ac:dyDescent="0.2">
      <c r="A19" s="59"/>
      <c r="B19" s="59"/>
      <c r="C19" s="59"/>
      <c r="D19" s="59"/>
      <c r="E19" s="59"/>
      <c r="F19" s="59"/>
      <c r="G19" s="59"/>
    </row>
    <row r="20" spans="1:11" ht="12.75" x14ac:dyDescent="0.2">
      <c r="A20" s="59"/>
      <c r="B20" s="59"/>
      <c r="C20" s="59"/>
      <c r="D20" s="59"/>
      <c r="E20" s="59"/>
      <c r="F20" s="59"/>
      <c r="G20" s="59"/>
    </row>
    <row r="21" spans="1:11" s="1" customFormat="1" ht="12.75" x14ac:dyDescent="0.2">
      <c r="A21" s="59"/>
      <c r="B21" s="59"/>
      <c r="C21" s="59"/>
      <c r="D21" s="59"/>
      <c r="E21" s="59"/>
      <c r="F21" s="59"/>
      <c r="G21" s="59"/>
      <c r="I21" s="12"/>
      <c r="J21" s="4"/>
      <c r="K21" s="4"/>
    </row>
  </sheetData>
  <mergeCells count="5">
    <mergeCell ref="B10:F10"/>
    <mergeCell ref="B11:F11"/>
    <mergeCell ref="B12:F12"/>
    <mergeCell ref="A13:G13"/>
    <mergeCell ref="B14:G14"/>
  </mergeCells>
  <printOptions horizontalCentered="1"/>
  <pageMargins left="0.25" right="0.25" top="0.5" bottom="0.5" header="0.3" footer="0.05"/>
  <pageSetup orientation="landscape" horizontalDpi="4294967292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K14"/>
  <sheetViews>
    <sheetView view="pageBreakPreview" zoomScaleSheetLayoutView="100" workbookViewId="0">
      <selection activeCell="B7" sqref="B7:G7"/>
    </sheetView>
  </sheetViews>
  <sheetFormatPr defaultColWidth="9.140625" defaultRowHeight="11.25" x14ac:dyDescent="0.15"/>
  <cols>
    <col min="1" max="1" width="5.85546875" style="4" bestFit="1" customWidth="1"/>
    <col min="2" max="2" width="12.5703125" style="4" customWidth="1"/>
    <col min="3" max="3" width="50.42578125" style="4" customWidth="1"/>
    <col min="4" max="4" width="5" style="4" bestFit="1" customWidth="1"/>
    <col min="5" max="5" width="6.28515625" style="4" bestFit="1" customWidth="1"/>
    <col min="6" max="6" width="11.5703125" style="4" bestFit="1" customWidth="1"/>
    <col min="7" max="7" width="16.5703125" style="4" bestFit="1" customWidth="1"/>
    <col min="8" max="8" width="9.140625" style="1"/>
    <col min="9" max="9" width="10.5703125" style="12" bestFit="1" customWidth="1"/>
    <col min="10" max="10" width="13.28515625" style="4" bestFit="1" customWidth="1"/>
    <col min="11" max="16384" width="9.140625" style="4"/>
  </cols>
  <sheetData>
    <row r="1" spans="1:11" ht="25.5" x14ac:dyDescent="0.15">
      <c r="A1" s="48" t="s">
        <v>0</v>
      </c>
      <c r="B1" s="49" t="s">
        <v>5</v>
      </c>
      <c r="C1" s="49" t="s">
        <v>2</v>
      </c>
      <c r="D1" s="49" t="s">
        <v>3</v>
      </c>
      <c r="E1" s="49" t="s">
        <v>13</v>
      </c>
      <c r="F1" s="50" t="s">
        <v>11</v>
      </c>
      <c r="G1" s="50" t="s">
        <v>12</v>
      </c>
      <c r="H1" s="40" t="s">
        <v>17</v>
      </c>
      <c r="I1" s="41" t="s">
        <v>10</v>
      </c>
      <c r="J1" s="42" t="s">
        <v>14</v>
      </c>
      <c r="K1" s="4" t="s">
        <v>107</v>
      </c>
    </row>
    <row r="2" spans="1:11" ht="51" x14ac:dyDescent="0.15">
      <c r="A2" s="51">
        <v>1</v>
      </c>
      <c r="B2" s="51" t="s">
        <v>269</v>
      </c>
      <c r="C2" s="53" t="s">
        <v>415</v>
      </c>
      <c r="D2" s="54" t="s">
        <v>109</v>
      </c>
      <c r="E2" s="51">
        <v>2</v>
      </c>
      <c r="F2" s="55">
        <f>88*1.3*H2</f>
        <v>800800</v>
      </c>
      <c r="G2" s="56">
        <f t="shared" ref="G2" si="0">F2*E2</f>
        <v>1601600</v>
      </c>
      <c r="H2" s="43">
        <v>7000</v>
      </c>
      <c r="I2" s="44">
        <v>6400</v>
      </c>
      <c r="J2" s="45">
        <f>47000/7</f>
        <v>6714.2857142857147</v>
      </c>
    </row>
    <row r="3" spans="1:11" ht="12.75" x14ac:dyDescent="0.15">
      <c r="A3" s="51">
        <v>2</v>
      </c>
      <c r="B3" s="337" t="s">
        <v>7</v>
      </c>
      <c r="C3" s="337"/>
      <c r="D3" s="337"/>
      <c r="E3" s="337"/>
      <c r="F3" s="337"/>
      <c r="G3" s="57">
        <f>SUM(G2:G2)</f>
        <v>1601600</v>
      </c>
      <c r="H3" s="46"/>
      <c r="I3" s="46"/>
      <c r="J3" s="47"/>
    </row>
    <row r="4" spans="1:11" ht="12.75" x14ac:dyDescent="0.15">
      <c r="A4" s="51">
        <v>3</v>
      </c>
      <c r="B4" s="337" t="s">
        <v>100</v>
      </c>
      <c r="C4" s="337"/>
      <c r="D4" s="337"/>
      <c r="E4" s="337"/>
      <c r="F4" s="337"/>
      <c r="G4" s="57">
        <f>G3*18%</f>
        <v>288288</v>
      </c>
    </row>
    <row r="5" spans="1:11" ht="12.75" x14ac:dyDescent="0.15">
      <c r="A5" s="51">
        <v>4</v>
      </c>
      <c r="B5" s="337" t="s">
        <v>8</v>
      </c>
      <c r="C5" s="337"/>
      <c r="D5" s="337"/>
      <c r="E5" s="337"/>
      <c r="F5" s="337"/>
      <c r="G5" s="57">
        <f>G4+G3</f>
        <v>1889888</v>
      </c>
    </row>
    <row r="6" spans="1:11" ht="12.75" x14ac:dyDescent="0.15">
      <c r="A6" s="344"/>
      <c r="B6" s="345"/>
      <c r="C6" s="345"/>
      <c r="D6" s="345"/>
      <c r="E6" s="345"/>
      <c r="F6" s="345"/>
      <c r="G6" s="346"/>
    </row>
    <row r="7" spans="1:11" ht="140.25" x14ac:dyDescent="0.15">
      <c r="A7" s="58" t="s">
        <v>9</v>
      </c>
      <c r="B7" s="335" t="s">
        <v>231</v>
      </c>
      <c r="C7" s="335"/>
      <c r="D7" s="335"/>
      <c r="E7" s="335"/>
      <c r="F7" s="335"/>
      <c r="G7" s="336"/>
    </row>
    <row r="8" spans="1:11" ht="12.75" x14ac:dyDescent="0.2">
      <c r="A8" s="59"/>
      <c r="B8" s="59"/>
      <c r="C8" s="59"/>
      <c r="D8" s="59"/>
      <c r="E8" s="59"/>
      <c r="F8" s="59"/>
      <c r="G8" s="59"/>
    </row>
    <row r="9" spans="1:11" ht="12.75" x14ac:dyDescent="0.2">
      <c r="A9" s="59"/>
      <c r="B9" s="59"/>
      <c r="C9" s="59"/>
      <c r="D9" s="59"/>
      <c r="E9" s="59"/>
      <c r="F9" s="59"/>
      <c r="G9" s="59"/>
    </row>
    <row r="10" spans="1:11" ht="12.75" x14ac:dyDescent="0.2">
      <c r="A10" s="59"/>
      <c r="B10" s="59"/>
      <c r="C10" s="59"/>
      <c r="D10" s="59"/>
      <c r="E10" s="59"/>
      <c r="F10" s="59"/>
      <c r="G10" s="59"/>
    </row>
    <row r="11" spans="1:11" ht="12.75" x14ac:dyDescent="0.2">
      <c r="A11" s="59"/>
      <c r="B11" s="59"/>
      <c r="C11" s="59"/>
      <c r="D11" s="59"/>
      <c r="E11" s="59"/>
      <c r="F11" s="59"/>
      <c r="G11" s="59"/>
    </row>
    <row r="12" spans="1:11" ht="12.75" x14ac:dyDescent="0.2">
      <c r="A12" s="59"/>
      <c r="B12" s="59"/>
      <c r="C12" s="59"/>
      <c r="D12" s="59"/>
      <c r="E12" s="59"/>
      <c r="F12" s="59"/>
      <c r="G12" s="59"/>
    </row>
    <row r="13" spans="1:11" ht="12.75" x14ac:dyDescent="0.2">
      <c r="A13" s="59"/>
      <c r="B13" s="59"/>
      <c r="C13" s="59"/>
      <c r="D13" s="59"/>
      <c r="E13" s="59"/>
      <c r="F13" s="59"/>
      <c r="G13" s="59"/>
    </row>
    <row r="14" spans="1:11" s="1" customFormat="1" ht="12.75" x14ac:dyDescent="0.2">
      <c r="A14" s="59"/>
      <c r="B14" s="59"/>
      <c r="C14" s="59"/>
      <c r="D14" s="59"/>
      <c r="E14" s="59"/>
      <c r="F14" s="59"/>
      <c r="G14" s="59"/>
      <c r="I14" s="12"/>
      <c r="J14" s="4"/>
      <c r="K14" s="4"/>
    </row>
  </sheetData>
  <mergeCells count="5">
    <mergeCell ref="B3:F3"/>
    <mergeCell ref="B4:F4"/>
    <mergeCell ref="B5:F5"/>
    <mergeCell ref="A6:G6"/>
    <mergeCell ref="B7:G7"/>
  </mergeCells>
  <printOptions horizontalCentered="1"/>
  <pageMargins left="0.25" right="0.25" top="0.5" bottom="0.5" header="0.3" footer="0.05"/>
  <pageSetup orientation="landscape" horizontalDpi="4294967292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K15"/>
  <sheetViews>
    <sheetView view="pageBreakPreview" zoomScaleSheetLayoutView="100" workbookViewId="0">
      <selection activeCell="C3" sqref="C3"/>
    </sheetView>
  </sheetViews>
  <sheetFormatPr defaultColWidth="9.140625" defaultRowHeight="11.25" x14ac:dyDescent="0.15"/>
  <cols>
    <col min="1" max="1" width="5.85546875" style="4" bestFit="1" customWidth="1"/>
    <col min="2" max="2" width="12.5703125" style="4" customWidth="1"/>
    <col min="3" max="3" width="50.42578125" style="4" customWidth="1"/>
    <col min="4" max="4" width="5" style="4" bestFit="1" customWidth="1"/>
    <col min="5" max="5" width="6.28515625" style="4" bestFit="1" customWidth="1"/>
    <col min="6" max="6" width="11.5703125" style="4" bestFit="1" customWidth="1"/>
    <col min="7" max="7" width="16.5703125" style="4" bestFit="1" customWidth="1"/>
    <col min="8" max="8" width="9.140625" style="1"/>
    <col min="9" max="9" width="10.5703125" style="12" bestFit="1" customWidth="1"/>
    <col min="10" max="10" width="13.28515625" style="4" bestFit="1" customWidth="1"/>
    <col min="11" max="16384" width="9.140625" style="4"/>
  </cols>
  <sheetData>
    <row r="1" spans="1:11" ht="25.5" x14ac:dyDescent="0.15">
      <c r="A1" s="48" t="s">
        <v>0</v>
      </c>
      <c r="B1" s="49" t="s">
        <v>5</v>
      </c>
      <c r="C1" s="49" t="s">
        <v>2</v>
      </c>
      <c r="D1" s="49" t="s">
        <v>3</v>
      </c>
      <c r="E1" s="49" t="s">
        <v>13</v>
      </c>
      <c r="F1" s="50" t="s">
        <v>11</v>
      </c>
      <c r="G1" s="50" t="s">
        <v>12</v>
      </c>
      <c r="H1" s="40" t="s">
        <v>17</v>
      </c>
      <c r="I1" s="41" t="s">
        <v>418</v>
      </c>
      <c r="J1" s="42" t="s">
        <v>110</v>
      </c>
      <c r="K1" s="4" t="s">
        <v>107</v>
      </c>
    </row>
    <row r="2" spans="1:11" ht="89.25" x14ac:dyDescent="0.15">
      <c r="A2" s="51">
        <v>1</v>
      </c>
      <c r="B2" s="51" t="s">
        <v>269</v>
      </c>
      <c r="C2" s="53" t="s">
        <v>416</v>
      </c>
      <c r="D2" s="54" t="s">
        <v>109</v>
      </c>
      <c r="E2" s="51">
        <v>4</v>
      </c>
      <c r="F2" s="55">
        <f t="shared" ref="F2:F3" si="0">88*1.3*H2</f>
        <v>36036</v>
      </c>
      <c r="G2" s="56">
        <f t="shared" ref="G2:G3" si="1">F2*E2</f>
        <v>144144</v>
      </c>
      <c r="H2" s="43">
        <f>J2</f>
        <v>315</v>
      </c>
      <c r="I2" s="44">
        <f>1404/7</f>
        <v>200.57142857142858</v>
      </c>
      <c r="J2" s="45">
        <v>315</v>
      </c>
    </row>
    <row r="3" spans="1:11" ht="63.75" x14ac:dyDescent="0.15">
      <c r="A3" s="51">
        <v>2</v>
      </c>
      <c r="B3" s="51" t="s">
        <v>269</v>
      </c>
      <c r="C3" s="53" t="s">
        <v>417</v>
      </c>
      <c r="D3" s="54" t="s">
        <v>109</v>
      </c>
      <c r="E3" s="51">
        <v>2</v>
      </c>
      <c r="F3" s="55">
        <f t="shared" si="0"/>
        <v>39468</v>
      </c>
      <c r="G3" s="56">
        <f t="shared" si="1"/>
        <v>78936</v>
      </c>
      <c r="H3" s="43">
        <f>J3</f>
        <v>345</v>
      </c>
      <c r="I3" s="44">
        <f>260/7</f>
        <v>37.142857142857146</v>
      </c>
      <c r="J3" s="45">
        <v>345</v>
      </c>
    </row>
    <row r="4" spans="1:11" ht="12.75" x14ac:dyDescent="0.15">
      <c r="A4" s="51">
        <v>3</v>
      </c>
      <c r="B4" s="337" t="s">
        <v>7</v>
      </c>
      <c r="C4" s="337"/>
      <c r="D4" s="337"/>
      <c r="E4" s="337"/>
      <c r="F4" s="337"/>
      <c r="G4" s="57">
        <f>SUM(G2:G3)</f>
        <v>223080</v>
      </c>
      <c r="H4" s="46"/>
      <c r="I4" s="46"/>
      <c r="J4" s="47"/>
    </row>
    <row r="5" spans="1:11" ht="12.75" x14ac:dyDescent="0.15">
      <c r="A5" s="51">
        <v>4</v>
      </c>
      <c r="B5" s="337" t="s">
        <v>100</v>
      </c>
      <c r="C5" s="337"/>
      <c r="D5" s="337"/>
      <c r="E5" s="337"/>
      <c r="F5" s="337"/>
      <c r="G5" s="57">
        <f>G4*18%</f>
        <v>40154.400000000001</v>
      </c>
    </row>
    <row r="6" spans="1:11" ht="12.75" x14ac:dyDescent="0.15">
      <c r="A6" s="51">
        <v>5</v>
      </c>
      <c r="B6" s="337" t="s">
        <v>8</v>
      </c>
      <c r="C6" s="337"/>
      <c r="D6" s="337"/>
      <c r="E6" s="337"/>
      <c r="F6" s="337"/>
      <c r="G6" s="57">
        <f>G5+G4</f>
        <v>263234.40000000002</v>
      </c>
    </row>
    <row r="7" spans="1:11" ht="12.75" x14ac:dyDescent="0.15">
      <c r="A7" s="344"/>
      <c r="B7" s="345"/>
      <c r="C7" s="345"/>
      <c r="D7" s="345"/>
      <c r="E7" s="345"/>
      <c r="F7" s="345"/>
      <c r="G7" s="346"/>
    </row>
    <row r="8" spans="1:11" ht="140.25" x14ac:dyDescent="0.15">
      <c r="A8" s="58" t="s">
        <v>9</v>
      </c>
      <c r="B8" s="335" t="s">
        <v>108</v>
      </c>
      <c r="C8" s="335"/>
      <c r="D8" s="335"/>
      <c r="E8" s="335"/>
      <c r="F8" s="335"/>
      <c r="G8" s="336"/>
    </row>
    <row r="9" spans="1:11" ht="12.75" x14ac:dyDescent="0.2">
      <c r="A9" s="59"/>
      <c r="B9" s="59"/>
      <c r="C9" s="59"/>
      <c r="D9" s="59"/>
      <c r="E9" s="59"/>
      <c r="F9" s="59"/>
      <c r="G9" s="59"/>
    </row>
    <row r="10" spans="1:11" ht="12.75" x14ac:dyDescent="0.2">
      <c r="A10" s="59"/>
      <c r="B10" s="59"/>
      <c r="C10" s="59"/>
      <c r="D10" s="59"/>
      <c r="E10" s="59"/>
      <c r="F10" s="59"/>
      <c r="G10" s="59"/>
    </row>
    <row r="11" spans="1:11" ht="12.75" x14ac:dyDescent="0.2">
      <c r="A11" s="59"/>
      <c r="B11" s="59"/>
      <c r="C11" s="59"/>
      <c r="D11" s="59"/>
      <c r="E11" s="59"/>
      <c r="F11" s="59"/>
      <c r="G11" s="59"/>
    </row>
    <row r="12" spans="1:11" ht="12.75" x14ac:dyDescent="0.2">
      <c r="A12" s="59"/>
      <c r="B12" s="59"/>
      <c r="C12" s="59"/>
      <c r="D12" s="59"/>
      <c r="E12" s="59"/>
      <c r="F12" s="59"/>
      <c r="G12" s="59"/>
    </row>
    <row r="13" spans="1:11" ht="12.75" x14ac:dyDescent="0.2">
      <c r="A13" s="59"/>
      <c r="B13" s="59"/>
      <c r="C13" s="59"/>
      <c r="D13" s="59"/>
      <c r="E13" s="59"/>
      <c r="F13" s="59"/>
      <c r="G13" s="59"/>
    </row>
    <row r="14" spans="1:11" ht="12.75" x14ac:dyDescent="0.2">
      <c r="A14" s="59"/>
      <c r="B14" s="59"/>
      <c r="C14" s="59"/>
      <c r="D14" s="59"/>
      <c r="E14" s="59"/>
      <c r="F14" s="59"/>
      <c r="G14" s="59"/>
    </row>
    <row r="15" spans="1:11" s="1" customFormat="1" ht="12.75" x14ac:dyDescent="0.2">
      <c r="A15" s="59"/>
      <c r="B15" s="59"/>
      <c r="C15" s="59"/>
      <c r="D15" s="59"/>
      <c r="E15" s="59"/>
      <c r="F15" s="59"/>
      <c r="G15" s="59"/>
      <c r="I15" s="12"/>
      <c r="J15" s="4"/>
      <c r="K15" s="4"/>
    </row>
  </sheetData>
  <mergeCells count="5">
    <mergeCell ref="B4:F4"/>
    <mergeCell ref="B5:F5"/>
    <mergeCell ref="B6:F6"/>
    <mergeCell ref="A7:G7"/>
    <mergeCell ref="B8:G8"/>
  </mergeCells>
  <printOptions horizontalCentered="1"/>
  <pageMargins left="0.25" right="0.25" top="0.5" bottom="0.5" header="0.3" footer="0.05"/>
  <pageSetup orientation="landscape" horizontalDpi="4294967292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K14"/>
  <sheetViews>
    <sheetView view="pageBreakPreview" zoomScaleSheetLayoutView="100" workbookViewId="0">
      <selection activeCell="F2" sqref="F2"/>
    </sheetView>
  </sheetViews>
  <sheetFormatPr defaultColWidth="9.140625" defaultRowHeight="11.25" x14ac:dyDescent="0.15"/>
  <cols>
    <col min="1" max="1" width="5.85546875" style="4" bestFit="1" customWidth="1"/>
    <col min="2" max="2" width="12.5703125" style="4" customWidth="1"/>
    <col min="3" max="3" width="50.42578125" style="4" customWidth="1"/>
    <col min="4" max="4" width="5" style="4" bestFit="1" customWidth="1"/>
    <col min="5" max="5" width="6.28515625" style="4" bestFit="1" customWidth="1"/>
    <col min="6" max="6" width="11.5703125" style="4" bestFit="1" customWidth="1"/>
    <col min="7" max="7" width="16.5703125" style="4" bestFit="1" customWidth="1"/>
    <col min="8" max="8" width="9.140625" style="1"/>
    <col min="9" max="9" width="10.5703125" style="12" bestFit="1" customWidth="1"/>
    <col min="10" max="10" width="13.28515625" style="4" bestFit="1" customWidth="1"/>
    <col min="11" max="16384" width="9.140625" style="4"/>
  </cols>
  <sheetData>
    <row r="1" spans="1:11" ht="25.5" x14ac:dyDescent="0.15">
      <c r="A1" s="48" t="s">
        <v>0</v>
      </c>
      <c r="B1" s="49" t="s">
        <v>5</v>
      </c>
      <c r="C1" s="49" t="s">
        <v>2</v>
      </c>
      <c r="D1" s="49" t="s">
        <v>3</v>
      </c>
      <c r="E1" s="49" t="s">
        <v>13</v>
      </c>
      <c r="F1" s="50" t="s">
        <v>11</v>
      </c>
      <c r="G1" s="50" t="s">
        <v>12</v>
      </c>
      <c r="H1" s="40" t="s">
        <v>17</v>
      </c>
      <c r="I1" s="41" t="s">
        <v>10</v>
      </c>
      <c r="J1" s="42" t="s">
        <v>110</v>
      </c>
      <c r="K1" s="4" t="s">
        <v>107</v>
      </c>
    </row>
    <row r="2" spans="1:11" ht="89.25" x14ac:dyDescent="0.15">
      <c r="A2" s="51">
        <v>1</v>
      </c>
      <c r="B2" s="51" t="s">
        <v>269</v>
      </c>
      <c r="C2" s="53" t="s">
        <v>419</v>
      </c>
      <c r="D2" s="54" t="s">
        <v>109</v>
      </c>
      <c r="E2" s="51">
        <v>1</v>
      </c>
      <c r="F2" s="55">
        <f t="shared" ref="F2" si="0">88*1.3*H2</f>
        <v>251680</v>
      </c>
      <c r="G2" s="56">
        <f t="shared" ref="G2" si="1">F2*E2</f>
        <v>251680</v>
      </c>
      <c r="H2" s="43">
        <v>2200</v>
      </c>
      <c r="I2" s="44">
        <v>2130</v>
      </c>
      <c r="J2" s="45"/>
    </row>
    <row r="3" spans="1:11" ht="12.75" x14ac:dyDescent="0.15">
      <c r="A3" s="51">
        <v>3</v>
      </c>
      <c r="B3" s="337" t="s">
        <v>7</v>
      </c>
      <c r="C3" s="337"/>
      <c r="D3" s="337"/>
      <c r="E3" s="337"/>
      <c r="F3" s="337"/>
      <c r="G3" s="57">
        <f>SUM(G2:G2)</f>
        <v>251680</v>
      </c>
      <c r="H3" s="46"/>
      <c r="I3" s="46"/>
      <c r="J3" s="47"/>
    </row>
    <row r="4" spans="1:11" ht="12.75" x14ac:dyDescent="0.15">
      <c r="A4" s="51">
        <v>4</v>
      </c>
      <c r="B4" s="337" t="s">
        <v>100</v>
      </c>
      <c r="C4" s="337"/>
      <c r="D4" s="337"/>
      <c r="E4" s="337"/>
      <c r="F4" s="337"/>
      <c r="G4" s="57">
        <f>G3*18%</f>
        <v>45302.400000000001</v>
      </c>
    </row>
    <row r="5" spans="1:11" ht="12.75" x14ac:dyDescent="0.15">
      <c r="A5" s="51">
        <v>5</v>
      </c>
      <c r="B5" s="337" t="s">
        <v>8</v>
      </c>
      <c r="C5" s="337"/>
      <c r="D5" s="337"/>
      <c r="E5" s="337"/>
      <c r="F5" s="337"/>
      <c r="G5" s="57">
        <f>G4+G3</f>
        <v>296982.40000000002</v>
      </c>
    </row>
    <row r="6" spans="1:11" ht="12.75" x14ac:dyDescent="0.15">
      <c r="A6" s="344"/>
      <c r="B6" s="345"/>
      <c r="C6" s="345"/>
      <c r="D6" s="345"/>
      <c r="E6" s="345"/>
      <c r="F6" s="345"/>
      <c r="G6" s="346"/>
    </row>
    <row r="7" spans="1:11" ht="140.25" x14ac:dyDescent="0.15">
      <c r="A7" s="58" t="s">
        <v>9</v>
      </c>
      <c r="B7" s="335" t="s">
        <v>108</v>
      </c>
      <c r="C7" s="335"/>
      <c r="D7" s="335"/>
      <c r="E7" s="335"/>
      <c r="F7" s="335"/>
      <c r="G7" s="336"/>
    </row>
    <row r="8" spans="1:11" ht="12.75" x14ac:dyDescent="0.2">
      <c r="A8" s="59"/>
      <c r="B8" s="59"/>
      <c r="C8" s="59"/>
      <c r="D8" s="59"/>
      <c r="E8" s="59"/>
      <c r="F8" s="59"/>
      <c r="G8" s="59"/>
    </row>
    <row r="9" spans="1:11" ht="12.75" x14ac:dyDescent="0.2">
      <c r="A9" s="59"/>
      <c r="B9" s="59"/>
      <c r="C9" s="59"/>
      <c r="D9" s="59"/>
      <c r="E9" s="59"/>
      <c r="F9" s="59"/>
      <c r="G9" s="59"/>
    </row>
    <row r="10" spans="1:11" ht="12.75" x14ac:dyDescent="0.2">
      <c r="A10" s="59"/>
      <c r="B10" s="59"/>
      <c r="C10" s="59"/>
      <c r="D10" s="59"/>
      <c r="E10" s="59"/>
      <c r="F10" s="59"/>
      <c r="G10" s="59"/>
    </row>
    <row r="11" spans="1:11" ht="12.75" x14ac:dyDescent="0.2">
      <c r="A11" s="59"/>
      <c r="B11" s="59"/>
      <c r="C11" s="59"/>
      <c r="D11" s="59"/>
      <c r="E11" s="59"/>
      <c r="F11" s="59"/>
      <c r="G11" s="59"/>
    </row>
    <row r="12" spans="1:11" ht="12.75" x14ac:dyDescent="0.2">
      <c r="A12" s="59"/>
      <c r="B12" s="59"/>
      <c r="C12" s="59"/>
      <c r="D12" s="59"/>
      <c r="E12" s="59"/>
      <c r="F12" s="59"/>
      <c r="G12" s="59"/>
    </row>
    <row r="13" spans="1:11" ht="12.75" x14ac:dyDescent="0.2">
      <c r="A13" s="59"/>
      <c r="B13" s="59"/>
      <c r="C13" s="59"/>
      <c r="D13" s="59"/>
      <c r="E13" s="59"/>
      <c r="F13" s="59"/>
      <c r="G13" s="59"/>
    </row>
    <row r="14" spans="1:11" s="1" customFormat="1" ht="12.75" x14ac:dyDescent="0.2">
      <c r="A14" s="59"/>
      <c r="B14" s="59"/>
      <c r="C14" s="59"/>
      <c r="D14" s="59"/>
      <c r="E14" s="59"/>
      <c r="F14" s="59"/>
      <c r="G14" s="59"/>
      <c r="I14" s="12"/>
      <c r="J14" s="4"/>
      <c r="K14" s="4"/>
    </row>
  </sheetData>
  <mergeCells count="5">
    <mergeCell ref="B3:F3"/>
    <mergeCell ref="B4:F4"/>
    <mergeCell ref="B5:F5"/>
    <mergeCell ref="A6:G6"/>
    <mergeCell ref="B7:G7"/>
  </mergeCells>
  <printOptions horizontalCentered="1"/>
  <pageMargins left="0.25" right="0.25" top="0.5" bottom="0.5" header="0.3" footer="0.05"/>
  <pageSetup orientation="landscape" horizontalDpi="4294967292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 filterMode="1"/>
  <dimension ref="A1:K54"/>
  <sheetViews>
    <sheetView view="pageBreakPreview" topLeftCell="A8" zoomScaleSheetLayoutView="100" workbookViewId="0">
      <selection activeCell="C8" sqref="A1:K54"/>
    </sheetView>
  </sheetViews>
  <sheetFormatPr defaultColWidth="9.140625" defaultRowHeight="11.25" x14ac:dyDescent="0.15"/>
  <cols>
    <col min="1" max="1" width="5.85546875" style="4" bestFit="1" customWidth="1"/>
    <col min="2" max="2" width="12.5703125" style="4" customWidth="1"/>
    <col min="3" max="3" width="50.42578125" style="4" customWidth="1"/>
    <col min="4" max="4" width="5" style="4" bestFit="1" customWidth="1"/>
    <col min="5" max="5" width="6.28515625" style="4" bestFit="1" customWidth="1"/>
    <col min="6" max="6" width="11.5703125" style="4" bestFit="1" customWidth="1"/>
    <col min="7" max="7" width="16.5703125" style="4" bestFit="1" customWidth="1"/>
    <col min="8" max="8" width="9.140625" style="1"/>
    <col min="9" max="9" width="10.5703125" style="12" bestFit="1" customWidth="1"/>
    <col min="10" max="10" width="13.28515625" style="4" bestFit="1" customWidth="1"/>
    <col min="11" max="16384" width="9.140625" style="4"/>
  </cols>
  <sheetData>
    <row r="1" spans="1:11" ht="25.5" x14ac:dyDescent="0.15">
      <c r="A1" s="48" t="s">
        <v>0</v>
      </c>
      <c r="B1" s="49" t="s">
        <v>5</v>
      </c>
      <c r="C1" s="49" t="s">
        <v>2</v>
      </c>
      <c r="D1" s="49" t="s">
        <v>3</v>
      </c>
      <c r="E1" s="49" t="s">
        <v>13</v>
      </c>
      <c r="F1" s="50" t="s">
        <v>11</v>
      </c>
      <c r="G1" s="50" t="s">
        <v>12</v>
      </c>
      <c r="H1" s="40" t="s">
        <v>17</v>
      </c>
      <c r="I1" s="41" t="s">
        <v>10</v>
      </c>
      <c r="J1" s="42" t="s">
        <v>110</v>
      </c>
      <c r="K1" s="4" t="s">
        <v>107</v>
      </c>
    </row>
    <row r="2" spans="1:11" ht="51" hidden="1" x14ac:dyDescent="0.15">
      <c r="A2" s="51">
        <v>1</v>
      </c>
      <c r="B2" s="51" t="s">
        <v>420</v>
      </c>
      <c r="C2" s="53" t="s">
        <v>434</v>
      </c>
      <c r="D2" s="54" t="s">
        <v>109</v>
      </c>
      <c r="E2" s="51">
        <v>1</v>
      </c>
      <c r="F2" s="55" t="s">
        <v>252</v>
      </c>
      <c r="G2" s="56">
        <v>0</v>
      </c>
      <c r="H2" s="43"/>
      <c r="I2" s="44"/>
      <c r="J2" s="45"/>
    </row>
    <row r="3" spans="1:11" ht="76.5" x14ac:dyDescent="0.15">
      <c r="A3" s="51">
        <v>2</v>
      </c>
      <c r="B3" s="51" t="s">
        <v>421</v>
      </c>
      <c r="C3" s="53" t="s">
        <v>435</v>
      </c>
      <c r="D3" s="54" t="s">
        <v>109</v>
      </c>
      <c r="E3" s="51">
        <v>1</v>
      </c>
      <c r="F3" s="55">
        <v>8000</v>
      </c>
      <c r="G3" s="56">
        <f t="shared" ref="G3:G39" si="0">F3*E3</f>
        <v>8000</v>
      </c>
      <c r="H3" s="43"/>
      <c r="I3" s="44"/>
      <c r="J3" s="45"/>
    </row>
    <row r="4" spans="1:11" ht="89.25" hidden="1" x14ac:dyDescent="0.15">
      <c r="A4" s="51">
        <v>3</v>
      </c>
      <c r="B4" s="51" t="s">
        <v>421</v>
      </c>
      <c r="C4" s="53" t="s">
        <v>436</v>
      </c>
      <c r="D4" s="54" t="s">
        <v>109</v>
      </c>
      <c r="E4" s="51">
        <v>1</v>
      </c>
      <c r="F4" s="55" t="s">
        <v>252</v>
      </c>
      <c r="G4" s="56">
        <v>0</v>
      </c>
      <c r="H4" s="43"/>
      <c r="I4" s="44"/>
      <c r="J4" s="45"/>
    </row>
    <row r="5" spans="1:11" ht="63.75" hidden="1" x14ac:dyDescent="0.15">
      <c r="A5" s="51">
        <v>4</v>
      </c>
      <c r="B5" s="51" t="s">
        <v>421</v>
      </c>
      <c r="C5" s="53" t="s">
        <v>437</v>
      </c>
      <c r="D5" s="54" t="s">
        <v>109</v>
      </c>
      <c r="E5" s="51">
        <v>1</v>
      </c>
      <c r="F5" s="55" t="s">
        <v>252</v>
      </c>
      <c r="G5" s="56">
        <v>0</v>
      </c>
      <c r="H5" s="43"/>
      <c r="I5" s="44"/>
      <c r="J5" s="45"/>
    </row>
    <row r="6" spans="1:11" ht="89.25" hidden="1" x14ac:dyDescent="0.15">
      <c r="A6" s="51">
        <v>5</v>
      </c>
      <c r="B6" s="51" t="s">
        <v>421</v>
      </c>
      <c r="C6" s="53" t="s">
        <v>438</v>
      </c>
      <c r="D6" s="54" t="s">
        <v>109</v>
      </c>
      <c r="E6" s="51">
        <v>1</v>
      </c>
      <c r="F6" s="55" t="s">
        <v>252</v>
      </c>
      <c r="G6" s="56">
        <v>0</v>
      </c>
      <c r="H6" s="43"/>
      <c r="I6" s="44"/>
      <c r="J6" s="45"/>
    </row>
    <row r="7" spans="1:11" ht="51" x14ac:dyDescent="0.15">
      <c r="A7" s="51">
        <v>6</v>
      </c>
      <c r="B7" s="51" t="s">
        <v>422</v>
      </c>
      <c r="C7" s="53" t="s">
        <v>439</v>
      </c>
      <c r="D7" s="54" t="s">
        <v>109</v>
      </c>
      <c r="E7" s="51">
        <v>1</v>
      </c>
      <c r="F7" s="55">
        <v>251680</v>
      </c>
      <c r="G7" s="56">
        <f t="shared" ref="G7:G14" si="1">F7*E7</f>
        <v>251680</v>
      </c>
      <c r="H7" s="43"/>
      <c r="I7" s="44"/>
      <c r="J7" s="45"/>
    </row>
    <row r="8" spans="1:11" ht="38.25" x14ac:dyDescent="0.15">
      <c r="A8" s="51">
        <v>7</v>
      </c>
      <c r="B8" s="51" t="s">
        <v>423</v>
      </c>
      <c r="C8" s="53" t="s">
        <v>440</v>
      </c>
      <c r="D8" s="54" t="s">
        <v>109</v>
      </c>
      <c r="E8" s="51">
        <v>2</v>
      </c>
      <c r="F8" s="55">
        <v>245000</v>
      </c>
      <c r="G8" s="56">
        <f t="shared" si="1"/>
        <v>490000</v>
      </c>
      <c r="H8" s="43"/>
      <c r="I8" s="44"/>
      <c r="J8" s="45"/>
    </row>
    <row r="9" spans="1:11" ht="89.25" hidden="1" x14ac:dyDescent="0.15">
      <c r="A9" s="51">
        <v>8</v>
      </c>
      <c r="B9" s="51" t="s">
        <v>423</v>
      </c>
      <c r="C9" s="53" t="s">
        <v>441</v>
      </c>
      <c r="D9" s="54" t="s">
        <v>109</v>
      </c>
      <c r="E9" s="51">
        <v>2</v>
      </c>
      <c r="F9" s="55" t="s">
        <v>252</v>
      </c>
      <c r="G9" s="56">
        <v>0</v>
      </c>
      <c r="H9" s="43"/>
      <c r="I9" s="44"/>
      <c r="J9" s="45"/>
    </row>
    <row r="10" spans="1:11" ht="114.75" hidden="1" x14ac:dyDescent="0.15">
      <c r="A10" s="51">
        <v>9</v>
      </c>
      <c r="B10" s="51" t="s">
        <v>423</v>
      </c>
      <c r="C10" s="53" t="s">
        <v>442</v>
      </c>
      <c r="D10" s="54" t="s">
        <v>109</v>
      </c>
      <c r="E10" s="51">
        <v>2</v>
      </c>
      <c r="F10" s="55" t="s">
        <v>252</v>
      </c>
      <c r="G10" s="56">
        <v>0</v>
      </c>
      <c r="H10" s="43"/>
      <c r="I10" s="44"/>
      <c r="J10" s="45"/>
    </row>
    <row r="11" spans="1:11" ht="25.5" hidden="1" x14ac:dyDescent="0.15">
      <c r="A11" s="51">
        <v>10</v>
      </c>
      <c r="B11" s="51" t="s">
        <v>423</v>
      </c>
      <c r="C11" s="53" t="s">
        <v>443</v>
      </c>
      <c r="D11" s="54" t="s">
        <v>109</v>
      </c>
      <c r="E11" s="51">
        <v>2</v>
      </c>
      <c r="F11" s="55" t="s">
        <v>252</v>
      </c>
      <c r="G11" s="56">
        <v>0</v>
      </c>
      <c r="H11" s="43"/>
      <c r="I11" s="44"/>
      <c r="J11" s="45"/>
    </row>
    <row r="12" spans="1:11" ht="25.5" x14ac:dyDescent="0.15">
      <c r="A12" s="51">
        <v>11</v>
      </c>
      <c r="B12" s="51" t="s">
        <v>423</v>
      </c>
      <c r="C12" s="53" t="s">
        <v>444</v>
      </c>
      <c r="D12" s="54" t="s">
        <v>109</v>
      </c>
      <c r="E12" s="51">
        <v>4</v>
      </c>
      <c r="F12" s="55">
        <v>2500</v>
      </c>
      <c r="G12" s="56">
        <f t="shared" si="1"/>
        <v>10000</v>
      </c>
      <c r="H12" s="43"/>
      <c r="I12" s="44"/>
      <c r="J12" s="45"/>
    </row>
    <row r="13" spans="1:11" ht="25.5" x14ac:dyDescent="0.15">
      <c r="A13" s="51">
        <v>12</v>
      </c>
      <c r="B13" s="51" t="s">
        <v>424</v>
      </c>
      <c r="C13" s="53" t="s">
        <v>445</v>
      </c>
      <c r="D13" s="54" t="s">
        <v>109</v>
      </c>
      <c r="E13" s="51">
        <v>5</v>
      </c>
      <c r="F13" s="55">
        <v>2500</v>
      </c>
      <c r="G13" s="56">
        <f t="shared" si="1"/>
        <v>12500</v>
      </c>
      <c r="H13" s="43"/>
      <c r="I13" s="44"/>
      <c r="J13" s="45"/>
    </row>
    <row r="14" spans="1:11" ht="38.25" x14ac:dyDescent="0.15">
      <c r="A14" s="51">
        <v>13</v>
      </c>
      <c r="B14" s="51" t="s">
        <v>424</v>
      </c>
      <c r="C14" s="53" t="s">
        <v>446</v>
      </c>
      <c r="D14" s="54" t="s">
        <v>109</v>
      </c>
      <c r="E14" s="51">
        <v>8</v>
      </c>
      <c r="F14" s="55">
        <v>2500</v>
      </c>
      <c r="G14" s="56">
        <f t="shared" si="1"/>
        <v>20000</v>
      </c>
      <c r="H14" s="43"/>
      <c r="I14" s="44"/>
      <c r="J14" s="45"/>
    </row>
    <row r="15" spans="1:11" ht="25.5" hidden="1" x14ac:dyDescent="0.15">
      <c r="A15" s="51">
        <v>14</v>
      </c>
      <c r="B15" s="51" t="s">
        <v>424</v>
      </c>
      <c r="C15" s="53" t="s">
        <v>447</v>
      </c>
      <c r="D15" s="54" t="s">
        <v>109</v>
      </c>
      <c r="E15" s="51">
        <v>2</v>
      </c>
      <c r="F15" s="55" t="s">
        <v>252</v>
      </c>
      <c r="G15" s="56">
        <v>0</v>
      </c>
      <c r="H15" s="43"/>
      <c r="I15" s="44"/>
      <c r="J15" s="45"/>
    </row>
    <row r="16" spans="1:11" ht="12.75" hidden="1" x14ac:dyDescent="0.15">
      <c r="A16" s="51">
        <v>15</v>
      </c>
      <c r="B16" s="51" t="s">
        <v>424</v>
      </c>
      <c r="C16" s="53" t="s">
        <v>448</v>
      </c>
      <c r="D16" s="54" t="s">
        <v>109</v>
      </c>
      <c r="E16" s="51">
        <v>1</v>
      </c>
      <c r="F16" s="55" t="s">
        <v>252</v>
      </c>
      <c r="G16" s="56">
        <v>0</v>
      </c>
      <c r="H16" s="43"/>
      <c r="I16" s="44"/>
      <c r="J16" s="45"/>
    </row>
    <row r="17" spans="1:10" ht="25.5" x14ac:dyDescent="0.15">
      <c r="A17" s="51">
        <v>16</v>
      </c>
      <c r="B17" s="51" t="s">
        <v>424</v>
      </c>
      <c r="C17" s="53" t="s">
        <v>449</v>
      </c>
      <c r="D17" s="54" t="s">
        <v>109</v>
      </c>
      <c r="E17" s="51">
        <v>5</v>
      </c>
      <c r="F17" s="55">
        <v>3500</v>
      </c>
      <c r="G17" s="56">
        <f t="shared" si="0"/>
        <v>17500</v>
      </c>
      <c r="H17" s="43"/>
      <c r="I17" s="44"/>
      <c r="J17" s="45"/>
    </row>
    <row r="18" spans="1:10" ht="114.75" hidden="1" x14ac:dyDescent="0.15">
      <c r="A18" s="51">
        <v>17</v>
      </c>
      <c r="B18" s="51" t="s">
        <v>425</v>
      </c>
      <c r="C18" s="53" t="s">
        <v>442</v>
      </c>
      <c r="D18" s="54" t="s">
        <v>109</v>
      </c>
      <c r="E18" s="51">
        <v>2</v>
      </c>
      <c r="F18" s="55" t="s">
        <v>252</v>
      </c>
      <c r="G18" s="56">
        <v>0</v>
      </c>
      <c r="H18" s="43"/>
      <c r="I18" s="44"/>
      <c r="J18" s="45"/>
    </row>
    <row r="19" spans="1:10" ht="12.75" hidden="1" x14ac:dyDescent="0.15">
      <c r="A19" s="51">
        <v>18</v>
      </c>
      <c r="B19" s="51" t="s">
        <v>425</v>
      </c>
      <c r="C19" s="53" t="s">
        <v>450</v>
      </c>
      <c r="D19" s="54" t="s">
        <v>109</v>
      </c>
      <c r="E19" s="51">
        <v>50</v>
      </c>
      <c r="F19" s="55" t="s">
        <v>252</v>
      </c>
      <c r="G19" s="56">
        <v>0</v>
      </c>
      <c r="H19" s="43"/>
      <c r="I19" s="44"/>
      <c r="J19" s="45"/>
    </row>
    <row r="20" spans="1:10" ht="12.75" x14ac:dyDescent="0.15">
      <c r="A20" s="51">
        <v>19</v>
      </c>
      <c r="B20" s="51" t="s">
        <v>425</v>
      </c>
      <c r="C20" s="53" t="s">
        <v>451</v>
      </c>
      <c r="D20" s="54" t="s">
        <v>109</v>
      </c>
      <c r="E20" s="51">
        <v>2</v>
      </c>
      <c r="F20" s="55">
        <f t="shared" ref="F20:F36" si="2">88*1.3*H20</f>
        <v>37752</v>
      </c>
      <c r="G20" s="56">
        <f t="shared" si="0"/>
        <v>75504</v>
      </c>
      <c r="H20" s="43">
        <v>330</v>
      </c>
      <c r="I20" s="44"/>
      <c r="J20" s="45"/>
    </row>
    <row r="21" spans="1:10" ht="25.5" hidden="1" x14ac:dyDescent="0.15">
      <c r="A21" s="51">
        <v>20</v>
      </c>
      <c r="B21" s="51" t="s">
        <v>425</v>
      </c>
      <c r="C21" s="53" t="s">
        <v>452</v>
      </c>
      <c r="D21" s="54" t="s">
        <v>109</v>
      </c>
      <c r="E21" s="51">
        <v>2</v>
      </c>
      <c r="F21" s="55" t="s">
        <v>252</v>
      </c>
      <c r="G21" s="56">
        <v>0</v>
      </c>
      <c r="H21" s="43"/>
      <c r="I21" s="44"/>
      <c r="J21" s="45"/>
    </row>
    <row r="22" spans="1:10" ht="63.75" x14ac:dyDescent="0.15">
      <c r="A22" s="51">
        <v>21</v>
      </c>
      <c r="B22" s="51" t="s">
        <v>425</v>
      </c>
      <c r="C22" s="53" t="s">
        <v>453</v>
      </c>
      <c r="D22" s="54" t="s">
        <v>109</v>
      </c>
      <c r="E22" s="51">
        <v>1</v>
      </c>
      <c r="F22" s="55">
        <v>328288.56</v>
      </c>
      <c r="G22" s="56">
        <f t="shared" si="0"/>
        <v>328288.56</v>
      </c>
      <c r="H22" s="43"/>
      <c r="I22" s="44">
        <v>2800</v>
      </c>
      <c r="J22" s="45"/>
    </row>
    <row r="23" spans="1:10" ht="38.25" x14ac:dyDescent="0.15">
      <c r="A23" s="51">
        <v>22</v>
      </c>
      <c r="B23" s="51" t="s">
        <v>426</v>
      </c>
      <c r="C23" s="53" t="s">
        <v>454</v>
      </c>
      <c r="D23" s="54" t="s">
        <v>109</v>
      </c>
      <c r="E23" s="51">
        <v>2</v>
      </c>
      <c r="F23" s="55">
        <v>2500</v>
      </c>
      <c r="G23" s="56">
        <f t="shared" si="0"/>
        <v>5000</v>
      </c>
      <c r="H23" s="43"/>
      <c r="I23" s="44"/>
      <c r="J23" s="45"/>
    </row>
    <row r="24" spans="1:10" ht="25.5" hidden="1" x14ac:dyDescent="0.15">
      <c r="A24" s="51">
        <v>23</v>
      </c>
      <c r="B24" s="51" t="s">
        <v>426</v>
      </c>
      <c r="C24" s="53" t="s">
        <v>455</v>
      </c>
      <c r="D24" s="54" t="s">
        <v>109</v>
      </c>
      <c r="E24" s="51">
        <v>2</v>
      </c>
      <c r="F24" s="55" t="s">
        <v>252</v>
      </c>
      <c r="G24" s="56">
        <v>0</v>
      </c>
      <c r="H24" s="43"/>
      <c r="I24" s="44"/>
      <c r="J24" s="45"/>
    </row>
    <row r="25" spans="1:10" ht="38.25" hidden="1" x14ac:dyDescent="0.15">
      <c r="A25" s="51">
        <v>24</v>
      </c>
      <c r="B25" s="51" t="s">
        <v>426</v>
      </c>
      <c r="C25" s="53" t="s">
        <v>456</v>
      </c>
      <c r="D25" s="54" t="s">
        <v>109</v>
      </c>
      <c r="E25" s="51">
        <v>5</v>
      </c>
      <c r="F25" s="55" t="s">
        <v>252</v>
      </c>
      <c r="G25" s="56">
        <v>0</v>
      </c>
      <c r="H25" s="43"/>
      <c r="I25" s="44"/>
      <c r="J25" s="45"/>
    </row>
    <row r="26" spans="1:10" ht="25.5" hidden="1" x14ac:dyDescent="0.15">
      <c r="A26" s="51">
        <v>25</v>
      </c>
      <c r="B26" s="51" t="s">
        <v>426</v>
      </c>
      <c r="C26" s="53" t="s">
        <v>457</v>
      </c>
      <c r="D26" s="54" t="s">
        <v>109</v>
      </c>
      <c r="E26" s="51">
        <v>2</v>
      </c>
      <c r="F26" s="55" t="s">
        <v>252</v>
      </c>
      <c r="G26" s="56">
        <v>0</v>
      </c>
      <c r="H26" s="43"/>
      <c r="I26" s="44"/>
      <c r="J26" s="45"/>
    </row>
    <row r="27" spans="1:10" ht="63.75" hidden="1" x14ac:dyDescent="0.15">
      <c r="A27" s="51">
        <v>26</v>
      </c>
      <c r="B27" s="51" t="s">
        <v>426</v>
      </c>
      <c r="C27" s="53" t="s">
        <v>458</v>
      </c>
      <c r="D27" s="54" t="s">
        <v>109</v>
      </c>
      <c r="E27" s="51">
        <v>1</v>
      </c>
      <c r="F27" s="55" t="s">
        <v>252</v>
      </c>
      <c r="G27" s="56">
        <v>0</v>
      </c>
      <c r="H27" s="43"/>
      <c r="I27" s="44"/>
      <c r="J27" s="45"/>
    </row>
    <row r="28" spans="1:10" ht="153" x14ac:dyDescent="0.15">
      <c r="A28" s="51">
        <v>27</v>
      </c>
      <c r="B28" s="51" t="s">
        <v>426</v>
      </c>
      <c r="C28" s="53" t="s">
        <v>459</v>
      </c>
      <c r="D28" s="54" t="s">
        <v>109</v>
      </c>
      <c r="E28" s="51">
        <v>1</v>
      </c>
      <c r="F28" s="55">
        <f t="shared" si="2"/>
        <v>29744</v>
      </c>
      <c r="G28" s="56">
        <f t="shared" si="0"/>
        <v>29744</v>
      </c>
      <c r="H28" s="43">
        <v>260</v>
      </c>
      <c r="I28" s="44"/>
      <c r="J28" s="45"/>
    </row>
    <row r="29" spans="1:10" ht="51" hidden="1" x14ac:dyDescent="0.15">
      <c r="A29" s="51">
        <v>28</v>
      </c>
      <c r="B29" s="51" t="s">
        <v>426</v>
      </c>
      <c r="C29" s="53" t="s">
        <v>460</v>
      </c>
      <c r="D29" s="54" t="s">
        <v>109</v>
      </c>
      <c r="E29" s="51">
        <v>4</v>
      </c>
      <c r="F29" s="55" t="s">
        <v>252</v>
      </c>
      <c r="G29" s="56">
        <v>0</v>
      </c>
      <c r="H29" s="43"/>
      <c r="I29" s="44"/>
      <c r="J29" s="45"/>
    </row>
    <row r="30" spans="1:10" ht="38.25" x14ac:dyDescent="0.15">
      <c r="A30" s="51">
        <v>29</v>
      </c>
      <c r="B30" s="51" t="s">
        <v>427</v>
      </c>
      <c r="C30" s="53" t="s">
        <v>461</v>
      </c>
      <c r="D30" s="54" t="s">
        <v>109</v>
      </c>
      <c r="E30" s="51">
        <v>3</v>
      </c>
      <c r="F30" s="55">
        <f t="shared" si="2"/>
        <v>22880</v>
      </c>
      <c r="G30" s="56">
        <f t="shared" si="0"/>
        <v>68640</v>
      </c>
      <c r="H30" s="43">
        <v>200</v>
      </c>
      <c r="I30" s="44"/>
      <c r="J30" s="45"/>
    </row>
    <row r="31" spans="1:10" ht="38.25" x14ac:dyDescent="0.15">
      <c r="A31" s="51">
        <v>30</v>
      </c>
      <c r="B31" s="51" t="s">
        <v>427</v>
      </c>
      <c r="C31" s="53" t="s">
        <v>462</v>
      </c>
      <c r="D31" s="54" t="s">
        <v>109</v>
      </c>
      <c r="E31" s="51">
        <v>3</v>
      </c>
      <c r="F31" s="55">
        <f t="shared" si="2"/>
        <v>25168</v>
      </c>
      <c r="G31" s="56">
        <f t="shared" si="0"/>
        <v>75504</v>
      </c>
      <c r="H31" s="43">
        <v>220</v>
      </c>
      <c r="I31" s="44"/>
      <c r="J31" s="45"/>
    </row>
    <row r="32" spans="1:10" ht="38.25" x14ac:dyDescent="0.15">
      <c r="A32" s="51">
        <v>31</v>
      </c>
      <c r="B32" s="51" t="s">
        <v>427</v>
      </c>
      <c r="C32" s="53" t="s">
        <v>463</v>
      </c>
      <c r="D32" s="54" t="s">
        <v>109</v>
      </c>
      <c r="E32" s="51">
        <v>3</v>
      </c>
      <c r="F32" s="55">
        <f t="shared" si="2"/>
        <v>14872</v>
      </c>
      <c r="G32" s="56">
        <f t="shared" si="0"/>
        <v>44616</v>
      </c>
      <c r="H32" s="43">
        <v>130</v>
      </c>
      <c r="I32" s="44"/>
      <c r="J32" s="45"/>
    </row>
    <row r="33" spans="1:10" ht="76.5" x14ac:dyDescent="0.15">
      <c r="A33" s="51">
        <v>32</v>
      </c>
      <c r="B33" s="51" t="s">
        <v>428</v>
      </c>
      <c r="C33" s="53" t="s">
        <v>464</v>
      </c>
      <c r="D33" s="54" t="s">
        <v>109</v>
      </c>
      <c r="E33" s="51">
        <v>2</v>
      </c>
      <c r="F33" s="55">
        <f t="shared" si="2"/>
        <v>13728</v>
      </c>
      <c r="G33" s="56">
        <f t="shared" si="0"/>
        <v>27456</v>
      </c>
      <c r="H33" s="43">
        <v>120</v>
      </c>
      <c r="I33" s="44"/>
      <c r="J33" s="45"/>
    </row>
    <row r="34" spans="1:10" ht="76.5" x14ac:dyDescent="0.15">
      <c r="A34" s="51">
        <v>33</v>
      </c>
      <c r="B34" s="51" t="s">
        <v>429</v>
      </c>
      <c r="C34" s="53" t="s">
        <v>465</v>
      </c>
      <c r="D34" s="54" t="s">
        <v>109</v>
      </c>
      <c r="E34" s="51">
        <v>2</v>
      </c>
      <c r="F34" s="55">
        <f t="shared" si="2"/>
        <v>22880</v>
      </c>
      <c r="G34" s="56">
        <f t="shared" si="0"/>
        <v>45760</v>
      </c>
      <c r="H34" s="43">
        <v>200</v>
      </c>
      <c r="I34" s="44"/>
      <c r="J34" s="45"/>
    </row>
    <row r="35" spans="1:10" ht="76.5" x14ac:dyDescent="0.15">
      <c r="A35" s="51">
        <v>34</v>
      </c>
      <c r="B35" s="51" t="s">
        <v>429</v>
      </c>
      <c r="C35" s="53" t="s">
        <v>466</v>
      </c>
      <c r="D35" s="54" t="s">
        <v>109</v>
      </c>
      <c r="E35" s="51">
        <v>2</v>
      </c>
      <c r="F35" s="55">
        <f t="shared" si="2"/>
        <v>22880</v>
      </c>
      <c r="G35" s="56">
        <f t="shared" si="0"/>
        <v>45760</v>
      </c>
      <c r="H35" s="43">
        <v>200</v>
      </c>
      <c r="I35" s="44"/>
      <c r="J35" s="45"/>
    </row>
    <row r="36" spans="1:10" ht="76.5" x14ac:dyDescent="0.15">
      <c r="A36" s="51">
        <v>35</v>
      </c>
      <c r="B36" s="51" t="s">
        <v>429</v>
      </c>
      <c r="C36" s="53" t="s">
        <v>467</v>
      </c>
      <c r="D36" s="54" t="s">
        <v>109</v>
      </c>
      <c r="E36" s="51">
        <v>2</v>
      </c>
      <c r="F36" s="55">
        <f t="shared" si="2"/>
        <v>25168</v>
      </c>
      <c r="G36" s="56">
        <f t="shared" si="0"/>
        <v>50336</v>
      </c>
      <c r="H36" s="43">
        <v>220</v>
      </c>
      <c r="I36" s="44"/>
      <c r="J36" s="45"/>
    </row>
    <row r="37" spans="1:10" ht="51" hidden="1" x14ac:dyDescent="0.15">
      <c r="A37" s="51">
        <v>36</v>
      </c>
      <c r="B37" s="51" t="s">
        <v>430</v>
      </c>
      <c r="C37" s="53" t="s">
        <v>468</v>
      </c>
      <c r="D37" s="54" t="s">
        <v>109</v>
      </c>
      <c r="E37" s="51">
        <v>1</v>
      </c>
      <c r="F37" s="55" t="s">
        <v>252</v>
      </c>
      <c r="G37" s="56">
        <v>0</v>
      </c>
      <c r="H37" s="43"/>
      <c r="I37" s="44"/>
      <c r="J37" s="45"/>
    </row>
    <row r="38" spans="1:10" ht="51" x14ac:dyDescent="0.15">
      <c r="A38" s="51">
        <v>37</v>
      </c>
      <c r="B38" s="51" t="s">
        <v>430</v>
      </c>
      <c r="C38" s="53" t="s">
        <v>469</v>
      </c>
      <c r="D38" s="54" t="s">
        <v>109</v>
      </c>
      <c r="E38" s="51">
        <v>1</v>
      </c>
      <c r="F38" s="55">
        <v>251680</v>
      </c>
      <c r="G38" s="56">
        <f t="shared" si="0"/>
        <v>251680</v>
      </c>
      <c r="H38" s="43"/>
      <c r="I38" s="44"/>
      <c r="J38" s="45"/>
    </row>
    <row r="39" spans="1:10" ht="12.75" x14ac:dyDescent="0.15">
      <c r="A39" s="51">
        <v>38</v>
      </c>
      <c r="B39" s="51" t="s">
        <v>431</v>
      </c>
      <c r="C39" s="53" t="s">
        <v>470</v>
      </c>
      <c r="D39" s="54" t="s">
        <v>109</v>
      </c>
      <c r="E39" s="51">
        <v>10</v>
      </c>
      <c r="F39" s="55">
        <v>450</v>
      </c>
      <c r="G39" s="56">
        <f t="shared" si="0"/>
        <v>4500</v>
      </c>
      <c r="H39" s="43"/>
      <c r="I39" s="44"/>
      <c r="J39" s="45"/>
    </row>
    <row r="40" spans="1:10" ht="25.5" hidden="1" x14ac:dyDescent="0.15">
      <c r="A40" s="51">
        <v>39</v>
      </c>
      <c r="B40" s="51" t="s">
        <v>432</v>
      </c>
      <c r="C40" s="53" t="s">
        <v>471</v>
      </c>
      <c r="D40" s="54" t="s">
        <v>109</v>
      </c>
      <c r="E40" s="51">
        <v>10</v>
      </c>
      <c r="F40" s="55" t="s">
        <v>252</v>
      </c>
      <c r="G40" s="56">
        <v>0</v>
      </c>
      <c r="H40" s="43"/>
      <c r="I40" s="44"/>
      <c r="J40" s="45"/>
    </row>
    <row r="41" spans="1:10" ht="25.5" hidden="1" x14ac:dyDescent="0.15">
      <c r="A41" s="51">
        <v>40</v>
      </c>
      <c r="B41" s="51" t="s">
        <v>432</v>
      </c>
      <c r="C41" s="53" t="s">
        <v>472</v>
      </c>
      <c r="D41" s="54" t="s">
        <v>109</v>
      </c>
      <c r="E41" s="51">
        <v>10</v>
      </c>
      <c r="F41" s="55" t="s">
        <v>252</v>
      </c>
      <c r="G41" s="56">
        <v>0</v>
      </c>
      <c r="H41" s="43"/>
      <c r="I41" s="44"/>
      <c r="J41" s="45"/>
    </row>
    <row r="42" spans="1:10" ht="76.5" hidden="1" x14ac:dyDescent="0.15">
      <c r="A42" s="51">
        <v>41</v>
      </c>
      <c r="B42" s="51" t="s">
        <v>433</v>
      </c>
      <c r="C42" s="53" t="s">
        <v>473</v>
      </c>
      <c r="D42" s="54" t="s">
        <v>109</v>
      </c>
      <c r="E42" s="51">
        <v>1</v>
      </c>
      <c r="F42" s="55" t="s">
        <v>252</v>
      </c>
      <c r="G42" s="56">
        <v>0</v>
      </c>
      <c r="H42" s="43"/>
      <c r="I42" s="44"/>
      <c r="J42" s="45"/>
    </row>
    <row r="43" spans="1:10" ht="12.75" x14ac:dyDescent="0.15">
      <c r="A43" s="51">
        <v>42</v>
      </c>
      <c r="B43" s="337" t="s">
        <v>7</v>
      </c>
      <c r="C43" s="337"/>
      <c r="D43" s="337"/>
      <c r="E43" s="337"/>
      <c r="F43" s="337"/>
      <c r="G43" s="57">
        <f>SUM(G2:G42)</f>
        <v>1862468.56</v>
      </c>
      <c r="H43" s="46"/>
      <c r="I43" s="46"/>
      <c r="J43" s="47"/>
    </row>
    <row r="44" spans="1:10" ht="12.75" x14ac:dyDescent="0.15">
      <c r="A44" s="51">
        <v>43</v>
      </c>
      <c r="B44" s="337" t="s">
        <v>100</v>
      </c>
      <c r="C44" s="337"/>
      <c r="D44" s="337"/>
      <c r="E44" s="337"/>
      <c r="F44" s="337"/>
      <c r="G44" s="57">
        <f>G43*18%</f>
        <v>335244.34080000001</v>
      </c>
    </row>
    <row r="45" spans="1:10" ht="12.75" x14ac:dyDescent="0.15">
      <c r="A45" s="51">
        <v>44</v>
      </c>
      <c r="B45" s="337" t="s">
        <v>8</v>
      </c>
      <c r="C45" s="337"/>
      <c r="D45" s="337"/>
      <c r="E45" s="337"/>
      <c r="F45" s="337"/>
      <c r="G45" s="57">
        <f>G44+G43</f>
        <v>2197712.9007999999</v>
      </c>
    </row>
    <row r="46" spans="1:10" ht="12.75" x14ac:dyDescent="0.15">
      <c r="A46" s="344"/>
      <c r="B46" s="345"/>
      <c r="C46" s="345"/>
      <c r="D46" s="345"/>
      <c r="E46" s="345"/>
      <c r="F46" s="345"/>
      <c r="G46" s="346"/>
    </row>
    <row r="47" spans="1:10" ht="140.25" x14ac:dyDescent="0.15">
      <c r="A47" s="58" t="s">
        <v>9</v>
      </c>
      <c r="B47" s="335" t="s">
        <v>108</v>
      </c>
      <c r="C47" s="335"/>
      <c r="D47" s="335"/>
      <c r="E47" s="335"/>
      <c r="F47" s="335"/>
      <c r="G47" s="336"/>
    </row>
    <row r="48" spans="1:10" ht="12.75" x14ac:dyDescent="0.2">
      <c r="A48" s="59"/>
      <c r="B48" s="59"/>
      <c r="C48" s="59"/>
      <c r="D48" s="59"/>
      <c r="E48" s="59"/>
      <c r="F48" s="59"/>
      <c r="G48" s="59"/>
    </row>
    <row r="49" spans="1:11" ht="12.75" x14ac:dyDescent="0.2">
      <c r="A49" s="59"/>
      <c r="B49" s="59"/>
      <c r="C49" s="59"/>
      <c r="D49" s="59"/>
      <c r="E49" s="59"/>
      <c r="F49" s="59"/>
      <c r="G49" s="59"/>
    </row>
    <row r="50" spans="1:11" ht="12.75" x14ac:dyDescent="0.2">
      <c r="A50" s="59"/>
      <c r="B50" s="59"/>
      <c r="C50" s="59"/>
      <c r="D50" s="59"/>
      <c r="E50" s="59"/>
      <c r="F50" s="59"/>
      <c r="G50" s="59"/>
    </row>
    <row r="51" spans="1:11" ht="12.75" x14ac:dyDescent="0.2">
      <c r="A51" s="59"/>
      <c r="B51" s="59"/>
      <c r="C51" s="59"/>
      <c r="D51" s="59"/>
      <c r="E51" s="59"/>
      <c r="F51" s="59"/>
      <c r="G51" s="59"/>
    </row>
    <row r="52" spans="1:11" ht="12.75" x14ac:dyDescent="0.2">
      <c r="A52" s="59"/>
      <c r="B52" s="59"/>
      <c r="C52" s="59"/>
      <c r="D52" s="59"/>
      <c r="E52" s="59"/>
      <c r="F52" s="59"/>
      <c r="G52" s="59"/>
    </row>
    <row r="53" spans="1:11" ht="12.75" x14ac:dyDescent="0.2">
      <c r="A53" s="59"/>
      <c r="B53" s="59"/>
      <c r="C53" s="59"/>
      <c r="D53" s="59"/>
      <c r="E53" s="59"/>
      <c r="F53" s="59"/>
      <c r="G53" s="59"/>
    </row>
    <row r="54" spans="1:11" s="1" customFormat="1" ht="12.75" x14ac:dyDescent="0.2">
      <c r="A54" s="59"/>
      <c r="B54" s="59"/>
      <c r="C54" s="59"/>
      <c r="D54" s="59"/>
      <c r="E54" s="59"/>
      <c r="F54" s="59"/>
      <c r="G54" s="59"/>
      <c r="I54" s="12"/>
      <c r="J54" s="4"/>
      <c r="K54" s="4"/>
    </row>
  </sheetData>
  <autoFilter ref="A1:K45" xr:uid="{00000000-0009-0000-0000-00004F000000}">
    <filterColumn colId="5">
      <filters blank="1">
        <filter val="13,728.00"/>
        <filter val="14,872.00"/>
        <filter val="2,45,000.00"/>
        <filter val="2,500.00"/>
        <filter val="2,51,680.00"/>
        <filter val="22,880.00"/>
        <filter val="25,168.00"/>
        <filter val="29,744.00"/>
        <filter val="3,28,288.56"/>
        <filter val="3,500.00"/>
        <filter val="37,752.00"/>
        <filter val="450.00"/>
        <filter val="8,000.00"/>
      </filters>
    </filterColumn>
  </autoFilter>
  <mergeCells count="5">
    <mergeCell ref="B43:F43"/>
    <mergeCell ref="B44:F44"/>
    <mergeCell ref="B45:F45"/>
    <mergeCell ref="A46:G46"/>
    <mergeCell ref="B47:G47"/>
  </mergeCells>
  <printOptions horizontalCentered="1"/>
  <pageMargins left="0.25" right="0.25" top="0.5" bottom="0.5" header="0.3" footer="0.05"/>
  <pageSetup orientation="landscape" horizontalDpi="4294967292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K21"/>
  <sheetViews>
    <sheetView view="pageBreakPreview" zoomScaleSheetLayoutView="100" workbookViewId="0">
      <selection activeCell="F5" sqref="F5"/>
    </sheetView>
  </sheetViews>
  <sheetFormatPr defaultColWidth="9.140625" defaultRowHeight="11.25" x14ac:dyDescent="0.15"/>
  <cols>
    <col min="1" max="1" width="5.85546875" style="4" bestFit="1" customWidth="1"/>
    <col min="2" max="2" width="12.5703125" style="4" customWidth="1"/>
    <col min="3" max="3" width="50.42578125" style="4" customWidth="1"/>
    <col min="4" max="4" width="5" style="4" bestFit="1" customWidth="1"/>
    <col min="5" max="5" width="6.28515625" style="4" bestFit="1" customWidth="1"/>
    <col min="6" max="6" width="11.5703125" style="4" bestFit="1" customWidth="1"/>
    <col min="7" max="7" width="16.5703125" style="4" bestFit="1" customWidth="1"/>
    <col min="8" max="8" width="9.140625" style="1"/>
    <col min="9" max="9" width="10.5703125" style="12" bestFit="1" customWidth="1"/>
    <col min="10" max="10" width="13.28515625" style="4" bestFit="1" customWidth="1"/>
    <col min="11" max="16384" width="9.140625" style="4"/>
  </cols>
  <sheetData>
    <row r="1" spans="1:11" ht="25.5" x14ac:dyDescent="0.15">
      <c r="A1" s="48" t="s">
        <v>0</v>
      </c>
      <c r="B1" s="49" t="s">
        <v>482</v>
      </c>
      <c r="C1" s="49" t="s">
        <v>2</v>
      </c>
      <c r="D1" s="49" t="s">
        <v>3</v>
      </c>
      <c r="E1" s="49" t="s">
        <v>13</v>
      </c>
      <c r="F1" s="50" t="s">
        <v>11</v>
      </c>
      <c r="G1" s="50" t="s">
        <v>12</v>
      </c>
      <c r="H1" s="40" t="s">
        <v>17</v>
      </c>
      <c r="I1" s="41" t="s">
        <v>490</v>
      </c>
      <c r="J1" s="42" t="s">
        <v>110</v>
      </c>
      <c r="K1" s="4" t="s">
        <v>107</v>
      </c>
    </row>
    <row r="2" spans="1:11" ht="76.5" x14ac:dyDescent="0.15">
      <c r="A2" s="51">
        <v>1</v>
      </c>
      <c r="B2" s="54" t="s">
        <v>483</v>
      </c>
      <c r="C2" s="53" t="s">
        <v>475</v>
      </c>
      <c r="D2" s="54" t="s">
        <v>109</v>
      </c>
      <c r="E2" s="51">
        <v>1</v>
      </c>
      <c r="F2" s="55">
        <f t="shared" ref="F2:F9" si="0">88*1.3*H2</f>
        <v>372372</v>
      </c>
      <c r="G2" s="56">
        <f t="shared" ref="G2:G9" si="1">F2*E2</f>
        <v>372372</v>
      </c>
      <c r="H2" s="43">
        <f>I2*1.05</f>
        <v>3255</v>
      </c>
      <c r="I2" s="44">
        <v>3100</v>
      </c>
      <c r="J2" s="45"/>
    </row>
    <row r="3" spans="1:11" ht="63.75" x14ac:dyDescent="0.15">
      <c r="A3" s="51">
        <v>2</v>
      </c>
      <c r="B3" s="54" t="s">
        <v>484</v>
      </c>
      <c r="C3" s="53" t="s">
        <v>476</v>
      </c>
      <c r="D3" s="54" t="s">
        <v>109</v>
      </c>
      <c r="E3" s="51">
        <v>1</v>
      </c>
      <c r="F3" s="55">
        <f t="shared" ref="F3:F8" si="2">88*1.3*H3</f>
        <v>894894</v>
      </c>
      <c r="G3" s="56">
        <f t="shared" ref="G3:G8" si="3">F3*E3</f>
        <v>894894</v>
      </c>
      <c r="H3" s="43">
        <f t="shared" ref="H3:H8" si="4">I3*1.05</f>
        <v>7822.5</v>
      </c>
      <c r="I3" s="44">
        <v>7450</v>
      </c>
      <c r="J3" s="45"/>
    </row>
    <row r="4" spans="1:11" ht="63.75" x14ac:dyDescent="0.15">
      <c r="A4" s="51">
        <v>3</v>
      </c>
      <c r="B4" s="54" t="s">
        <v>485</v>
      </c>
      <c r="C4" s="53" t="s">
        <v>477</v>
      </c>
      <c r="D4" s="54" t="s">
        <v>109</v>
      </c>
      <c r="E4" s="51">
        <v>1</v>
      </c>
      <c r="F4" s="55">
        <f t="shared" si="2"/>
        <v>894894</v>
      </c>
      <c r="G4" s="56">
        <f t="shared" si="3"/>
        <v>894894</v>
      </c>
      <c r="H4" s="43">
        <f t="shared" si="4"/>
        <v>7822.5</v>
      </c>
      <c r="I4" s="44">
        <v>7450</v>
      </c>
      <c r="J4" s="45"/>
    </row>
    <row r="5" spans="1:11" ht="51" x14ac:dyDescent="0.15">
      <c r="A5" s="51">
        <v>4</v>
      </c>
      <c r="B5" s="54" t="s">
        <v>486</v>
      </c>
      <c r="C5" s="53" t="s">
        <v>478</v>
      </c>
      <c r="D5" s="54" t="s">
        <v>109</v>
      </c>
      <c r="E5" s="51">
        <v>1</v>
      </c>
      <c r="F5" s="55">
        <f t="shared" si="2"/>
        <v>780780</v>
      </c>
      <c r="G5" s="56">
        <f t="shared" si="3"/>
        <v>780780</v>
      </c>
      <c r="H5" s="43">
        <f t="shared" si="4"/>
        <v>6825</v>
      </c>
      <c r="I5" s="44">
        <v>6500</v>
      </c>
      <c r="J5" s="45"/>
    </row>
    <row r="6" spans="1:11" ht="51" x14ac:dyDescent="0.15">
      <c r="A6" s="51">
        <v>5</v>
      </c>
      <c r="B6" s="54" t="s">
        <v>487</v>
      </c>
      <c r="C6" s="53" t="s">
        <v>479</v>
      </c>
      <c r="D6" s="54" t="s">
        <v>109</v>
      </c>
      <c r="E6" s="51">
        <v>1</v>
      </c>
      <c r="F6" s="55">
        <f t="shared" si="2"/>
        <v>2402.4</v>
      </c>
      <c r="G6" s="56">
        <f t="shared" si="3"/>
        <v>2402.4</v>
      </c>
      <c r="H6" s="43">
        <f t="shared" si="4"/>
        <v>21</v>
      </c>
      <c r="I6" s="44">
        <v>20</v>
      </c>
      <c r="J6" s="45"/>
    </row>
    <row r="7" spans="1:11" ht="51" x14ac:dyDescent="0.15">
      <c r="A7" s="51">
        <v>6</v>
      </c>
      <c r="B7" s="54" t="s">
        <v>488</v>
      </c>
      <c r="C7" s="53" t="s">
        <v>480</v>
      </c>
      <c r="D7" s="54" t="s">
        <v>109</v>
      </c>
      <c r="E7" s="51">
        <v>1</v>
      </c>
      <c r="F7" s="55">
        <f t="shared" si="2"/>
        <v>372372</v>
      </c>
      <c r="G7" s="56">
        <f t="shared" si="3"/>
        <v>372372</v>
      </c>
      <c r="H7" s="43">
        <f t="shared" si="4"/>
        <v>3255</v>
      </c>
      <c r="I7" s="44">
        <v>3100</v>
      </c>
      <c r="J7" s="45"/>
    </row>
    <row r="8" spans="1:11" ht="76.5" x14ac:dyDescent="0.15">
      <c r="A8" s="51">
        <v>7</v>
      </c>
      <c r="B8" s="54" t="s">
        <v>489</v>
      </c>
      <c r="C8" s="53" t="s">
        <v>481</v>
      </c>
      <c r="D8" s="54" t="s">
        <v>109</v>
      </c>
      <c r="E8" s="51">
        <v>1</v>
      </c>
      <c r="F8" s="55">
        <f t="shared" si="2"/>
        <v>720720</v>
      </c>
      <c r="G8" s="56">
        <f t="shared" si="3"/>
        <v>720720</v>
      </c>
      <c r="H8" s="43">
        <f t="shared" si="4"/>
        <v>6300</v>
      </c>
      <c r="I8" s="44">
        <v>6000</v>
      </c>
      <c r="J8" s="45"/>
    </row>
    <row r="9" spans="1:11" ht="63.75" x14ac:dyDescent="0.15">
      <c r="A9" s="51">
        <v>8</v>
      </c>
      <c r="B9" s="54" t="s">
        <v>491</v>
      </c>
      <c r="C9" s="53" t="s">
        <v>492</v>
      </c>
      <c r="D9" s="54" t="s">
        <v>109</v>
      </c>
      <c r="E9" s="51">
        <v>2</v>
      </c>
      <c r="F9" s="55">
        <f t="shared" si="0"/>
        <v>40040</v>
      </c>
      <c r="G9" s="56">
        <f t="shared" si="1"/>
        <v>80080</v>
      </c>
      <c r="H9" s="43">
        <v>350</v>
      </c>
      <c r="I9" s="44"/>
      <c r="J9" s="112" t="s">
        <v>493</v>
      </c>
    </row>
    <row r="10" spans="1:11" ht="12.75" x14ac:dyDescent="0.15">
      <c r="A10" s="51">
        <v>8</v>
      </c>
      <c r="B10" s="337" t="s">
        <v>7</v>
      </c>
      <c r="C10" s="337"/>
      <c r="D10" s="337"/>
      <c r="E10" s="337"/>
      <c r="F10" s="337"/>
      <c r="G10" s="57">
        <f>SUM(G2:G9)</f>
        <v>4118514.4</v>
      </c>
      <c r="H10" s="46"/>
      <c r="I10" s="46"/>
      <c r="J10" s="47"/>
    </row>
    <row r="11" spans="1:11" ht="12.75" x14ac:dyDescent="0.15">
      <c r="A11" s="51">
        <v>9</v>
      </c>
      <c r="B11" s="337" t="s">
        <v>100</v>
      </c>
      <c r="C11" s="337"/>
      <c r="D11" s="337"/>
      <c r="E11" s="337"/>
      <c r="F11" s="337"/>
      <c r="G11" s="57">
        <f>G10*18%</f>
        <v>741332.59199999995</v>
      </c>
    </row>
    <row r="12" spans="1:11" ht="12.75" x14ac:dyDescent="0.15">
      <c r="A12" s="51">
        <v>10</v>
      </c>
      <c r="B12" s="337" t="s">
        <v>8</v>
      </c>
      <c r="C12" s="337"/>
      <c r="D12" s="337"/>
      <c r="E12" s="337"/>
      <c r="F12" s="337"/>
      <c r="G12" s="57">
        <f>G11+G10</f>
        <v>4859846.9919999996</v>
      </c>
    </row>
    <row r="13" spans="1:11" ht="12.75" x14ac:dyDescent="0.15">
      <c r="A13" s="344"/>
      <c r="B13" s="345"/>
      <c r="C13" s="345"/>
      <c r="D13" s="345"/>
      <c r="E13" s="345"/>
      <c r="F13" s="345"/>
      <c r="G13" s="346"/>
    </row>
    <row r="14" spans="1:11" ht="140.25" x14ac:dyDescent="0.15">
      <c r="A14" s="58" t="s">
        <v>9</v>
      </c>
      <c r="B14" s="335" t="s">
        <v>108</v>
      </c>
      <c r="C14" s="335"/>
      <c r="D14" s="335"/>
      <c r="E14" s="335"/>
      <c r="F14" s="335"/>
      <c r="G14" s="336"/>
    </row>
    <row r="15" spans="1:11" ht="12.75" x14ac:dyDescent="0.2">
      <c r="A15" s="59"/>
      <c r="B15" s="59"/>
      <c r="C15" s="59"/>
      <c r="D15" s="59"/>
      <c r="E15" s="59"/>
      <c r="F15" s="59"/>
      <c r="G15" s="59"/>
    </row>
    <row r="16" spans="1:11" ht="12.75" x14ac:dyDescent="0.2">
      <c r="A16" s="59"/>
      <c r="B16" s="59"/>
      <c r="C16" s="59"/>
      <c r="D16" s="59"/>
      <c r="E16" s="59"/>
      <c r="F16" s="59"/>
      <c r="G16" s="59"/>
    </row>
    <row r="17" spans="1:11" ht="12.75" x14ac:dyDescent="0.2">
      <c r="A17" s="59"/>
      <c r="B17" s="59"/>
      <c r="C17" s="59"/>
      <c r="D17" s="59"/>
      <c r="E17" s="59"/>
      <c r="F17" s="59"/>
      <c r="G17" s="59"/>
    </row>
    <row r="18" spans="1:11" ht="12.75" x14ac:dyDescent="0.2">
      <c r="A18" s="59"/>
      <c r="B18" s="59"/>
      <c r="C18" s="59"/>
      <c r="D18" s="59"/>
      <c r="E18" s="59"/>
      <c r="F18" s="59"/>
      <c r="G18" s="59"/>
    </row>
    <row r="19" spans="1:11" ht="12.75" x14ac:dyDescent="0.2">
      <c r="A19" s="59"/>
      <c r="B19" s="59"/>
      <c r="C19" s="59"/>
      <c r="D19" s="59"/>
      <c r="E19" s="59"/>
      <c r="F19" s="59"/>
      <c r="G19" s="59"/>
    </row>
    <row r="20" spans="1:11" ht="12.75" x14ac:dyDescent="0.2">
      <c r="A20" s="59"/>
      <c r="B20" s="59"/>
      <c r="C20" s="59"/>
      <c r="D20" s="59"/>
      <c r="E20" s="59"/>
      <c r="F20" s="59"/>
      <c r="G20" s="59"/>
    </row>
    <row r="21" spans="1:11" s="1" customFormat="1" ht="12.75" x14ac:dyDescent="0.2">
      <c r="A21" s="59"/>
      <c r="B21" s="59"/>
      <c r="C21" s="59"/>
      <c r="D21" s="59"/>
      <c r="E21" s="59"/>
      <c r="F21" s="59"/>
      <c r="G21" s="59"/>
      <c r="I21" s="12"/>
      <c r="J21" s="4"/>
      <c r="K21" s="4"/>
    </row>
  </sheetData>
  <mergeCells count="5">
    <mergeCell ref="B10:F10"/>
    <mergeCell ref="B11:F11"/>
    <mergeCell ref="B12:F12"/>
    <mergeCell ref="A13:G13"/>
    <mergeCell ref="B14:G14"/>
  </mergeCells>
  <printOptions horizontalCentered="1"/>
  <pageMargins left="0.25" right="0.25" top="0.5" bottom="0.5" header="0.3" footer="0.05"/>
  <pageSetup orientation="landscape" horizontalDpi="4294967292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K19"/>
  <sheetViews>
    <sheetView view="pageBreakPreview" zoomScaleSheetLayoutView="100" workbookViewId="0">
      <selection activeCell="B1" sqref="B1"/>
    </sheetView>
  </sheetViews>
  <sheetFormatPr defaultColWidth="9.140625" defaultRowHeight="11.25" x14ac:dyDescent="0.15"/>
  <cols>
    <col min="1" max="1" width="5.85546875" style="4" bestFit="1" customWidth="1"/>
    <col min="2" max="2" width="12.5703125" style="4" customWidth="1"/>
    <col min="3" max="3" width="50.42578125" style="4" customWidth="1"/>
    <col min="4" max="4" width="5" style="4" bestFit="1" customWidth="1"/>
    <col min="5" max="5" width="6.28515625" style="4" bestFit="1" customWidth="1"/>
    <col min="6" max="6" width="11.5703125" style="4" bestFit="1" customWidth="1"/>
    <col min="7" max="7" width="16.5703125" style="4" bestFit="1" customWidth="1"/>
    <col min="8" max="8" width="9.140625" style="1"/>
    <col min="9" max="9" width="10.5703125" style="12" bestFit="1" customWidth="1"/>
    <col min="10" max="10" width="13.28515625" style="4" bestFit="1" customWidth="1"/>
    <col min="11" max="16384" width="9.140625" style="4"/>
  </cols>
  <sheetData>
    <row r="1" spans="1:11" ht="25.5" x14ac:dyDescent="0.15">
      <c r="A1" s="48" t="s">
        <v>0</v>
      </c>
      <c r="B1" s="49" t="s">
        <v>5</v>
      </c>
      <c r="C1" s="49" t="s">
        <v>2</v>
      </c>
      <c r="D1" s="49" t="s">
        <v>3</v>
      </c>
      <c r="E1" s="49" t="s">
        <v>13</v>
      </c>
      <c r="F1" s="50" t="s">
        <v>11</v>
      </c>
      <c r="G1" s="50" t="s">
        <v>12</v>
      </c>
      <c r="H1" s="40" t="s">
        <v>17</v>
      </c>
      <c r="I1" s="41" t="s">
        <v>10</v>
      </c>
      <c r="J1" s="42" t="s">
        <v>110</v>
      </c>
      <c r="K1" s="4" t="s">
        <v>107</v>
      </c>
    </row>
    <row r="2" spans="1:11" ht="38.25" x14ac:dyDescent="0.15">
      <c r="A2" s="51">
        <v>43</v>
      </c>
      <c r="B2" s="51" t="s">
        <v>494</v>
      </c>
      <c r="C2" s="53" t="s">
        <v>502</v>
      </c>
      <c r="D2" s="54" t="s">
        <v>109</v>
      </c>
      <c r="E2" s="51">
        <v>2</v>
      </c>
      <c r="F2" s="55">
        <f>88*1.33*H2</f>
        <v>4096.4000000000005</v>
      </c>
      <c r="G2" s="56">
        <f t="shared" ref="G2" si="0">F2*E2</f>
        <v>8192.8000000000011</v>
      </c>
      <c r="H2" s="43">
        <v>35</v>
      </c>
      <c r="I2" s="44"/>
      <c r="J2" s="45">
        <v>30</v>
      </c>
    </row>
    <row r="3" spans="1:11" ht="76.5" x14ac:dyDescent="0.15">
      <c r="A3" s="51">
        <v>45</v>
      </c>
      <c r="B3" s="51" t="s">
        <v>495</v>
      </c>
      <c r="C3" s="53" t="s">
        <v>503</v>
      </c>
      <c r="D3" s="54" t="s">
        <v>109</v>
      </c>
      <c r="E3" s="51">
        <v>2</v>
      </c>
      <c r="F3" s="55">
        <f t="shared" ref="F3:F4" si="1">88*1.33*H3</f>
        <v>63786.8</v>
      </c>
      <c r="G3" s="56">
        <f t="shared" ref="G3:G7" si="2">F3*E3</f>
        <v>127573.6</v>
      </c>
      <c r="H3" s="43">
        <v>545</v>
      </c>
      <c r="I3" s="44"/>
      <c r="J3" s="45">
        <v>505</v>
      </c>
    </row>
    <row r="4" spans="1:11" ht="51" x14ac:dyDescent="0.15">
      <c r="A4" s="51">
        <v>46</v>
      </c>
      <c r="B4" s="51" t="s">
        <v>495</v>
      </c>
      <c r="C4" s="53" t="s">
        <v>501</v>
      </c>
      <c r="D4" s="54" t="s">
        <v>109</v>
      </c>
      <c r="E4" s="51">
        <v>2</v>
      </c>
      <c r="F4" s="55">
        <f t="shared" si="1"/>
        <v>62031.200000000004</v>
      </c>
      <c r="G4" s="56">
        <f t="shared" si="2"/>
        <v>124062.40000000001</v>
      </c>
      <c r="H4" s="43">
        <v>530</v>
      </c>
      <c r="I4" s="44"/>
      <c r="J4" s="45">
        <v>495</v>
      </c>
    </row>
    <row r="5" spans="1:11" ht="25.5" x14ac:dyDescent="0.15">
      <c r="A5" s="51">
        <v>47</v>
      </c>
      <c r="B5" s="51" t="s">
        <v>495</v>
      </c>
      <c r="C5" s="53" t="s">
        <v>500</v>
      </c>
      <c r="D5" s="54" t="s">
        <v>109</v>
      </c>
      <c r="E5" s="51">
        <v>4</v>
      </c>
      <c r="F5" s="55">
        <f t="shared" ref="F5:F7" si="3">88*1.33*H5</f>
        <v>37452.800000000003</v>
      </c>
      <c r="G5" s="56">
        <f t="shared" si="2"/>
        <v>149811.20000000001</v>
      </c>
      <c r="H5" s="43">
        <v>320</v>
      </c>
      <c r="I5" s="44"/>
      <c r="J5" s="45">
        <v>300</v>
      </c>
    </row>
    <row r="6" spans="1:11" ht="76.5" x14ac:dyDescent="0.15">
      <c r="A6" s="51">
        <v>48</v>
      </c>
      <c r="B6" s="51" t="s">
        <v>496</v>
      </c>
      <c r="C6" s="53" t="s">
        <v>499</v>
      </c>
      <c r="D6" s="54" t="s">
        <v>109</v>
      </c>
      <c r="E6" s="51">
        <v>2</v>
      </c>
      <c r="F6" s="55">
        <f t="shared" si="3"/>
        <v>140448</v>
      </c>
      <c r="G6" s="56">
        <f t="shared" si="2"/>
        <v>280896</v>
      </c>
      <c r="H6" s="43">
        <v>1200</v>
      </c>
      <c r="I6" s="44"/>
      <c r="J6" s="45">
        <v>1150</v>
      </c>
    </row>
    <row r="7" spans="1:11" ht="76.5" x14ac:dyDescent="0.15">
      <c r="A7" s="51">
        <v>49</v>
      </c>
      <c r="B7" s="51" t="s">
        <v>497</v>
      </c>
      <c r="C7" s="53" t="s">
        <v>498</v>
      </c>
      <c r="D7" s="54" t="s">
        <v>109</v>
      </c>
      <c r="E7" s="51">
        <v>2</v>
      </c>
      <c r="F7" s="55">
        <f t="shared" si="3"/>
        <v>143374</v>
      </c>
      <c r="G7" s="56">
        <f t="shared" si="2"/>
        <v>286748</v>
      </c>
      <c r="H7" s="43">
        <v>1225</v>
      </c>
      <c r="I7" s="44"/>
      <c r="J7" s="45">
        <v>1225</v>
      </c>
    </row>
    <row r="8" spans="1:11" ht="12.75" x14ac:dyDescent="0.15">
      <c r="A8" s="51">
        <v>1</v>
      </c>
      <c r="B8" s="337" t="s">
        <v>7</v>
      </c>
      <c r="C8" s="337"/>
      <c r="D8" s="337"/>
      <c r="E8" s="337"/>
      <c r="F8" s="337"/>
      <c r="G8" s="57">
        <f>SUM(G2:G7)</f>
        <v>977284</v>
      </c>
      <c r="H8" s="46"/>
      <c r="I8" s="46"/>
      <c r="J8" s="47"/>
    </row>
    <row r="9" spans="1:11" ht="12.75" x14ac:dyDescent="0.15">
      <c r="A9" s="51">
        <v>2</v>
      </c>
      <c r="B9" s="337" t="s">
        <v>100</v>
      </c>
      <c r="C9" s="337"/>
      <c r="D9" s="337"/>
      <c r="E9" s="337"/>
      <c r="F9" s="337"/>
      <c r="G9" s="57">
        <f>G8*18%</f>
        <v>175911.12</v>
      </c>
    </row>
    <row r="10" spans="1:11" ht="12.75" x14ac:dyDescent="0.15">
      <c r="A10" s="51">
        <v>3</v>
      </c>
      <c r="B10" s="337" t="s">
        <v>8</v>
      </c>
      <c r="C10" s="337"/>
      <c r="D10" s="337"/>
      <c r="E10" s="337"/>
      <c r="F10" s="337"/>
      <c r="G10" s="57">
        <f>G9+G8</f>
        <v>1153195.1200000001</v>
      </c>
    </row>
    <row r="11" spans="1:11" ht="12.75" x14ac:dyDescent="0.15">
      <c r="A11" s="344"/>
      <c r="B11" s="345"/>
      <c r="C11" s="345"/>
      <c r="D11" s="345"/>
      <c r="E11" s="345"/>
      <c r="F11" s="345"/>
      <c r="G11" s="346"/>
    </row>
    <row r="12" spans="1:11" ht="140.25" x14ac:dyDescent="0.15">
      <c r="A12" s="58" t="s">
        <v>9</v>
      </c>
      <c r="B12" s="335" t="s">
        <v>108</v>
      </c>
      <c r="C12" s="335"/>
      <c r="D12" s="335"/>
      <c r="E12" s="335"/>
      <c r="F12" s="335"/>
      <c r="G12" s="336"/>
    </row>
    <row r="13" spans="1:11" ht="12.75" x14ac:dyDescent="0.2">
      <c r="A13" s="59"/>
      <c r="B13" s="59"/>
      <c r="C13" s="59"/>
      <c r="D13" s="59"/>
      <c r="E13" s="59"/>
      <c r="F13" s="59"/>
      <c r="G13" s="59"/>
    </row>
    <row r="14" spans="1:11" ht="12.75" x14ac:dyDescent="0.2">
      <c r="A14" s="59"/>
      <c r="B14" s="59"/>
      <c r="C14" s="59"/>
      <c r="D14" s="59"/>
      <c r="E14" s="59"/>
      <c r="F14" s="59"/>
      <c r="G14" s="59"/>
    </row>
    <row r="15" spans="1:11" ht="12.75" x14ac:dyDescent="0.2">
      <c r="A15" s="59"/>
      <c r="B15" s="59"/>
      <c r="C15" s="59"/>
      <c r="D15" s="59"/>
      <c r="E15" s="59"/>
      <c r="F15" s="59"/>
      <c r="G15" s="59"/>
    </row>
    <row r="16" spans="1:11" ht="12.75" x14ac:dyDescent="0.2">
      <c r="A16" s="59"/>
      <c r="B16" s="59"/>
      <c r="C16" s="59"/>
      <c r="D16" s="59"/>
      <c r="E16" s="59"/>
      <c r="F16" s="59"/>
      <c r="G16" s="59"/>
    </row>
    <row r="17" spans="1:11" ht="12.75" x14ac:dyDescent="0.2">
      <c r="A17" s="59"/>
      <c r="B17" s="59"/>
      <c r="C17" s="59"/>
      <c r="D17" s="59"/>
      <c r="E17" s="59"/>
      <c r="F17" s="59"/>
      <c r="G17" s="59"/>
    </row>
    <row r="18" spans="1:11" ht="12.75" x14ac:dyDescent="0.2">
      <c r="A18" s="59"/>
      <c r="B18" s="59"/>
      <c r="C18" s="59"/>
      <c r="D18" s="59"/>
      <c r="E18" s="59"/>
      <c r="F18" s="59"/>
      <c r="G18" s="59"/>
    </row>
    <row r="19" spans="1:11" s="1" customFormat="1" ht="12.75" x14ac:dyDescent="0.2">
      <c r="A19" s="59"/>
      <c r="B19" s="59"/>
      <c r="C19" s="59"/>
      <c r="D19" s="59"/>
      <c r="E19" s="59"/>
      <c r="F19" s="59"/>
      <c r="G19" s="59"/>
      <c r="I19" s="12"/>
      <c r="J19" s="4"/>
      <c r="K19" s="4"/>
    </row>
  </sheetData>
  <autoFilter ref="A1:K10" xr:uid="{00000000-0009-0000-0000-000051000000}"/>
  <mergeCells count="5">
    <mergeCell ref="B8:F8"/>
    <mergeCell ref="B9:F9"/>
    <mergeCell ref="B10:F10"/>
    <mergeCell ref="A11:G11"/>
    <mergeCell ref="B12:G12"/>
  </mergeCells>
  <printOptions horizontalCentered="1"/>
  <pageMargins left="0.25" right="0.25" top="0.5" bottom="0.5" header="0.3" footer="0.05"/>
  <pageSetup orientation="landscape" horizontalDpi="4294967292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K29"/>
  <sheetViews>
    <sheetView view="pageBreakPreview" zoomScaleSheetLayoutView="100" workbookViewId="0">
      <selection activeCell="C2" sqref="C2"/>
    </sheetView>
  </sheetViews>
  <sheetFormatPr defaultColWidth="9.140625" defaultRowHeight="11.25" x14ac:dyDescent="0.15"/>
  <cols>
    <col min="1" max="1" width="5.85546875" style="4" bestFit="1" customWidth="1"/>
    <col min="2" max="2" width="12.5703125" style="4" customWidth="1"/>
    <col min="3" max="3" width="50.42578125" style="4" customWidth="1"/>
    <col min="4" max="4" width="5" style="4" bestFit="1" customWidth="1"/>
    <col min="5" max="5" width="6.28515625" style="4" bestFit="1" customWidth="1"/>
    <col min="6" max="6" width="11.5703125" style="4" bestFit="1" customWidth="1"/>
    <col min="7" max="7" width="16.5703125" style="4" bestFit="1" customWidth="1"/>
    <col min="8" max="8" width="9.140625" style="1"/>
    <col min="9" max="9" width="10.5703125" style="12" bestFit="1" customWidth="1"/>
    <col min="10" max="10" width="13.28515625" style="4" bestFit="1" customWidth="1"/>
    <col min="11" max="16384" width="9.140625" style="4"/>
  </cols>
  <sheetData>
    <row r="1" spans="1:11" ht="25.5" x14ac:dyDescent="0.15">
      <c r="A1" s="48" t="s">
        <v>0</v>
      </c>
      <c r="B1" s="49" t="s">
        <v>5</v>
      </c>
      <c r="C1" s="49" t="s">
        <v>2</v>
      </c>
      <c r="D1" s="49" t="s">
        <v>3</v>
      </c>
      <c r="E1" s="49" t="s">
        <v>13</v>
      </c>
      <c r="F1" s="50" t="s">
        <v>11</v>
      </c>
      <c r="G1" s="50" t="s">
        <v>12</v>
      </c>
      <c r="H1" s="40" t="s">
        <v>17</v>
      </c>
      <c r="I1" s="41" t="s">
        <v>10</v>
      </c>
      <c r="J1" s="42" t="s">
        <v>110</v>
      </c>
      <c r="K1" s="4" t="s">
        <v>107</v>
      </c>
    </row>
    <row r="2" spans="1:11" ht="38.25" x14ac:dyDescent="0.15">
      <c r="A2" s="51">
        <v>7</v>
      </c>
      <c r="B2" s="51" t="s">
        <v>423</v>
      </c>
      <c r="C2" s="53" t="s">
        <v>440</v>
      </c>
      <c r="D2" s="54" t="s">
        <v>109</v>
      </c>
      <c r="E2" s="51">
        <v>2</v>
      </c>
      <c r="F2" s="55">
        <v>219000</v>
      </c>
      <c r="G2" s="56">
        <f>F2*E2</f>
        <v>438000</v>
      </c>
      <c r="H2" s="43"/>
      <c r="I2" s="44"/>
      <c r="J2" s="45"/>
    </row>
    <row r="3" spans="1:11" ht="25.5" x14ac:dyDescent="0.15">
      <c r="A3" s="51">
        <v>11</v>
      </c>
      <c r="B3" s="51" t="s">
        <v>423</v>
      </c>
      <c r="C3" s="53" t="s">
        <v>444</v>
      </c>
      <c r="D3" s="54" t="s">
        <v>109</v>
      </c>
      <c r="E3" s="51">
        <v>4</v>
      </c>
      <c r="F3" s="55">
        <v>2500</v>
      </c>
      <c r="G3" s="56">
        <f t="shared" ref="G3:G17" si="0">F3*E3</f>
        <v>10000</v>
      </c>
      <c r="H3" s="43"/>
      <c r="I3" s="44"/>
      <c r="J3" s="45"/>
    </row>
    <row r="4" spans="1:11" ht="25.5" x14ac:dyDescent="0.15">
      <c r="A4" s="51">
        <v>16</v>
      </c>
      <c r="B4" s="51" t="s">
        <v>424</v>
      </c>
      <c r="C4" s="53" t="s">
        <v>449</v>
      </c>
      <c r="D4" s="54" t="s">
        <v>109</v>
      </c>
      <c r="E4" s="51">
        <v>5</v>
      </c>
      <c r="F4" s="55">
        <v>3500</v>
      </c>
      <c r="G4" s="56">
        <f t="shared" si="0"/>
        <v>17500</v>
      </c>
      <c r="H4" s="43"/>
      <c r="I4" s="44"/>
      <c r="J4" s="45"/>
    </row>
    <row r="5" spans="1:11" ht="12.75" x14ac:dyDescent="0.15">
      <c r="A5" s="51">
        <v>19</v>
      </c>
      <c r="B5" s="51" t="s">
        <v>425</v>
      </c>
      <c r="C5" s="53" t="s">
        <v>451</v>
      </c>
      <c r="D5" s="54" t="s">
        <v>109</v>
      </c>
      <c r="E5" s="51">
        <v>2</v>
      </c>
      <c r="F5" s="55">
        <v>37752</v>
      </c>
      <c r="G5" s="56">
        <f t="shared" si="0"/>
        <v>75504</v>
      </c>
      <c r="H5" s="43">
        <v>330</v>
      </c>
      <c r="I5" s="44"/>
      <c r="J5" s="45"/>
    </row>
    <row r="6" spans="1:11" ht="153" x14ac:dyDescent="0.15">
      <c r="A6" s="51">
        <v>27</v>
      </c>
      <c r="B6" s="51" t="s">
        <v>426</v>
      </c>
      <c r="C6" s="53" t="s">
        <v>459</v>
      </c>
      <c r="D6" s="54" t="s">
        <v>109</v>
      </c>
      <c r="E6" s="51">
        <v>1</v>
      </c>
      <c r="F6" s="55">
        <v>29000</v>
      </c>
      <c r="G6" s="56">
        <f t="shared" si="0"/>
        <v>29000</v>
      </c>
      <c r="H6" s="43">
        <v>260</v>
      </c>
      <c r="I6" s="44"/>
      <c r="J6" s="45"/>
    </row>
    <row r="7" spans="1:11" ht="38.25" x14ac:dyDescent="0.15">
      <c r="A7" s="51">
        <v>29</v>
      </c>
      <c r="B7" s="51" t="s">
        <v>427</v>
      </c>
      <c r="C7" s="53" t="s">
        <v>461</v>
      </c>
      <c r="D7" s="54" t="s">
        <v>109</v>
      </c>
      <c r="E7" s="51">
        <v>3</v>
      </c>
      <c r="F7" s="55">
        <v>22880</v>
      </c>
      <c r="G7" s="56">
        <f t="shared" si="0"/>
        <v>68640</v>
      </c>
      <c r="H7" s="43">
        <v>200</v>
      </c>
      <c r="I7" s="44"/>
      <c r="J7" s="45"/>
    </row>
    <row r="8" spans="1:11" ht="38.25" x14ac:dyDescent="0.15">
      <c r="A8" s="51">
        <v>30</v>
      </c>
      <c r="B8" s="51" t="s">
        <v>427</v>
      </c>
      <c r="C8" s="53" t="s">
        <v>462</v>
      </c>
      <c r="D8" s="54" t="s">
        <v>109</v>
      </c>
      <c r="E8" s="51">
        <v>3</v>
      </c>
      <c r="F8" s="55">
        <v>25168</v>
      </c>
      <c r="G8" s="56">
        <f t="shared" si="0"/>
        <v>75504</v>
      </c>
      <c r="H8" s="43">
        <v>220</v>
      </c>
      <c r="I8" s="44"/>
      <c r="J8" s="45"/>
    </row>
    <row r="9" spans="1:11" ht="38.25" x14ac:dyDescent="0.15">
      <c r="A9" s="51">
        <v>31</v>
      </c>
      <c r="B9" s="51" t="s">
        <v>427</v>
      </c>
      <c r="C9" s="53" t="s">
        <v>463</v>
      </c>
      <c r="D9" s="54" t="s">
        <v>109</v>
      </c>
      <c r="E9" s="51">
        <v>3</v>
      </c>
      <c r="F9" s="55">
        <v>14872</v>
      </c>
      <c r="G9" s="56">
        <f t="shared" si="0"/>
        <v>44616</v>
      </c>
      <c r="H9" s="43">
        <v>130</v>
      </c>
      <c r="I9" s="44"/>
      <c r="J9" s="45"/>
    </row>
    <row r="10" spans="1:11" ht="76.5" x14ac:dyDescent="0.15">
      <c r="A10" s="51">
        <v>32</v>
      </c>
      <c r="B10" s="51" t="s">
        <v>428</v>
      </c>
      <c r="C10" s="53" t="s">
        <v>464</v>
      </c>
      <c r="D10" s="54" t="s">
        <v>109</v>
      </c>
      <c r="E10" s="51">
        <v>2</v>
      </c>
      <c r="F10" s="55">
        <v>13728</v>
      </c>
      <c r="G10" s="56">
        <f t="shared" si="0"/>
        <v>27456</v>
      </c>
      <c r="H10" s="43">
        <v>120</v>
      </c>
      <c r="I10" s="44"/>
      <c r="J10" s="45"/>
    </row>
    <row r="11" spans="1:11" ht="76.5" x14ac:dyDescent="0.15">
      <c r="A11" s="51">
        <v>33</v>
      </c>
      <c r="B11" s="51" t="s">
        <v>429</v>
      </c>
      <c r="C11" s="53" t="s">
        <v>465</v>
      </c>
      <c r="D11" s="54" t="s">
        <v>109</v>
      </c>
      <c r="E11" s="51">
        <v>2</v>
      </c>
      <c r="F11" s="55">
        <v>22880</v>
      </c>
      <c r="G11" s="56">
        <f t="shared" si="0"/>
        <v>45760</v>
      </c>
      <c r="H11" s="43">
        <v>200</v>
      </c>
      <c r="I11" s="44"/>
      <c r="J11" s="45"/>
    </row>
    <row r="12" spans="1:11" ht="76.5" x14ac:dyDescent="0.15">
      <c r="A12" s="51">
        <v>34</v>
      </c>
      <c r="B12" s="51" t="s">
        <v>429</v>
      </c>
      <c r="C12" s="53" t="s">
        <v>466</v>
      </c>
      <c r="D12" s="54" t="s">
        <v>109</v>
      </c>
      <c r="E12" s="51">
        <v>2</v>
      </c>
      <c r="F12" s="55">
        <v>22880</v>
      </c>
      <c r="G12" s="56">
        <f t="shared" si="0"/>
        <v>45760</v>
      </c>
      <c r="H12" s="43">
        <v>200</v>
      </c>
      <c r="I12" s="44"/>
      <c r="J12" s="45"/>
    </row>
    <row r="13" spans="1:11" ht="76.5" x14ac:dyDescent="0.15">
      <c r="A13" s="51">
        <v>35</v>
      </c>
      <c r="B13" s="51" t="s">
        <v>429</v>
      </c>
      <c r="C13" s="53" t="s">
        <v>467</v>
      </c>
      <c r="D13" s="54" t="s">
        <v>109</v>
      </c>
      <c r="E13" s="51">
        <v>2</v>
      </c>
      <c r="F13" s="55">
        <v>25168</v>
      </c>
      <c r="G13" s="56">
        <f t="shared" si="0"/>
        <v>50336</v>
      </c>
      <c r="H13" s="43">
        <v>220</v>
      </c>
      <c r="I13" s="44"/>
      <c r="J13" s="45"/>
    </row>
    <row r="14" spans="1:11" ht="12.75" x14ac:dyDescent="0.15">
      <c r="A14" s="51">
        <v>38</v>
      </c>
      <c r="B14" s="51" t="s">
        <v>431</v>
      </c>
      <c r="C14" s="53" t="s">
        <v>470</v>
      </c>
      <c r="D14" s="54" t="s">
        <v>109</v>
      </c>
      <c r="E14" s="51">
        <v>10</v>
      </c>
      <c r="F14" s="55">
        <v>350</v>
      </c>
      <c r="G14" s="56">
        <f t="shared" si="0"/>
        <v>3500</v>
      </c>
      <c r="H14" s="43"/>
      <c r="I14" s="44"/>
      <c r="J14" s="45"/>
    </row>
    <row r="15" spans="1:11" ht="38.25" x14ac:dyDescent="0.15">
      <c r="A15" s="51">
        <v>43</v>
      </c>
      <c r="B15" s="51" t="s">
        <v>494</v>
      </c>
      <c r="C15" s="53" t="s">
        <v>502</v>
      </c>
      <c r="D15" s="54" t="s">
        <v>109</v>
      </c>
      <c r="E15" s="51">
        <v>2</v>
      </c>
      <c r="F15" s="55">
        <v>4000</v>
      </c>
      <c r="G15" s="56">
        <f t="shared" si="0"/>
        <v>8000</v>
      </c>
      <c r="H15" s="43">
        <v>35</v>
      </c>
      <c r="I15" s="44"/>
      <c r="J15" s="45">
        <v>30</v>
      </c>
    </row>
    <row r="16" spans="1:11" ht="76.5" x14ac:dyDescent="0.15">
      <c r="A16" s="51">
        <v>45</v>
      </c>
      <c r="B16" s="51" t="s">
        <v>495</v>
      </c>
      <c r="C16" s="53" t="s">
        <v>503</v>
      </c>
      <c r="D16" s="54" t="s">
        <v>109</v>
      </c>
      <c r="E16" s="51">
        <v>2</v>
      </c>
      <c r="F16" s="55">
        <v>62000</v>
      </c>
      <c r="G16" s="56">
        <f t="shared" si="0"/>
        <v>124000</v>
      </c>
      <c r="H16" s="43">
        <v>545</v>
      </c>
      <c r="I16" s="44"/>
      <c r="J16" s="45">
        <v>505</v>
      </c>
    </row>
    <row r="17" spans="1:11" ht="51" x14ac:dyDescent="0.15">
      <c r="A17" s="51">
        <v>46</v>
      </c>
      <c r="B17" s="51" t="s">
        <v>495</v>
      </c>
      <c r="C17" s="53" t="s">
        <v>501</v>
      </c>
      <c r="D17" s="54" t="s">
        <v>109</v>
      </c>
      <c r="E17" s="51">
        <v>2</v>
      </c>
      <c r="F17" s="55">
        <v>54000</v>
      </c>
      <c r="G17" s="56">
        <f t="shared" si="0"/>
        <v>108000</v>
      </c>
      <c r="H17" s="43">
        <v>530</v>
      </c>
      <c r="I17" s="44"/>
      <c r="J17" s="45">
        <v>495</v>
      </c>
    </row>
    <row r="18" spans="1:11" ht="12.75" x14ac:dyDescent="0.15">
      <c r="A18" s="51">
        <v>1</v>
      </c>
      <c r="B18" s="337" t="s">
        <v>7</v>
      </c>
      <c r="C18" s="337"/>
      <c r="D18" s="337"/>
      <c r="E18" s="337"/>
      <c r="F18" s="337"/>
      <c r="G18" s="57">
        <f>SUM(G2:G17)</f>
        <v>1171576</v>
      </c>
      <c r="H18" s="46"/>
      <c r="I18" s="46"/>
      <c r="J18" s="47"/>
    </row>
    <row r="19" spans="1:11" ht="12.75" x14ac:dyDescent="0.15">
      <c r="A19" s="51">
        <v>2</v>
      </c>
      <c r="B19" s="337" t="s">
        <v>100</v>
      </c>
      <c r="C19" s="337"/>
      <c r="D19" s="337"/>
      <c r="E19" s="337"/>
      <c r="F19" s="337"/>
      <c r="G19" s="57">
        <f>G18*18%</f>
        <v>210883.68</v>
      </c>
    </row>
    <row r="20" spans="1:11" ht="12.75" x14ac:dyDescent="0.15">
      <c r="A20" s="51">
        <v>3</v>
      </c>
      <c r="B20" s="337" t="s">
        <v>8</v>
      </c>
      <c r="C20" s="337"/>
      <c r="D20" s="337"/>
      <c r="E20" s="337"/>
      <c r="F20" s="337"/>
      <c r="G20" s="57">
        <f>G19+G18</f>
        <v>1382459.68</v>
      </c>
    </row>
    <row r="21" spans="1:11" ht="12.75" x14ac:dyDescent="0.15">
      <c r="A21" s="344"/>
      <c r="B21" s="345"/>
      <c r="C21" s="345"/>
      <c r="D21" s="345"/>
      <c r="E21" s="345"/>
      <c r="F21" s="345"/>
      <c r="G21" s="346"/>
    </row>
    <row r="22" spans="1:11" ht="140.25" x14ac:dyDescent="0.15">
      <c r="A22" s="58" t="s">
        <v>9</v>
      </c>
      <c r="B22" s="335" t="s">
        <v>108</v>
      </c>
      <c r="C22" s="335"/>
      <c r="D22" s="335"/>
      <c r="E22" s="335"/>
      <c r="F22" s="335"/>
      <c r="G22" s="336"/>
    </row>
    <row r="23" spans="1:11" ht="12.75" x14ac:dyDescent="0.2">
      <c r="A23" s="59"/>
      <c r="B23" s="59"/>
      <c r="C23" s="59"/>
      <c r="D23" s="59"/>
      <c r="E23" s="59"/>
      <c r="F23" s="59"/>
      <c r="G23" s="59"/>
    </row>
    <row r="24" spans="1:11" ht="12.75" x14ac:dyDescent="0.2">
      <c r="A24" s="59"/>
      <c r="B24" s="59"/>
      <c r="C24" s="59"/>
      <c r="D24" s="59"/>
      <c r="E24" s="59"/>
      <c r="F24" s="59"/>
      <c r="G24" s="59"/>
    </row>
    <row r="25" spans="1:11" ht="12.75" x14ac:dyDescent="0.2">
      <c r="A25" s="59"/>
      <c r="B25" s="59"/>
      <c r="C25" s="59"/>
      <c r="D25" s="59"/>
      <c r="E25" s="59"/>
      <c r="F25" s="59"/>
      <c r="G25" s="59"/>
    </row>
    <row r="26" spans="1:11" ht="12.75" x14ac:dyDescent="0.2">
      <c r="A26" s="59"/>
      <c r="B26" s="59"/>
      <c r="C26" s="59"/>
      <c r="D26" s="59"/>
      <c r="E26" s="59"/>
      <c r="F26" s="59"/>
      <c r="G26" s="59"/>
    </row>
    <row r="27" spans="1:11" ht="12.75" x14ac:dyDescent="0.2">
      <c r="A27" s="59"/>
      <c r="B27" s="59"/>
      <c r="C27" s="59"/>
      <c r="D27" s="59"/>
      <c r="E27" s="59"/>
      <c r="F27" s="59"/>
      <c r="G27" s="59"/>
    </row>
    <row r="28" spans="1:11" ht="12.75" x14ac:dyDescent="0.2">
      <c r="A28" s="59"/>
      <c r="B28" s="59"/>
      <c r="C28" s="59"/>
      <c r="D28" s="59"/>
      <c r="E28" s="59"/>
      <c r="F28" s="59"/>
      <c r="G28" s="59"/>
    </row>
    <row r="29" spans="1:11" s="1" customFormat="1" ht="12.75" x14ac:dyDescent="0.2">
      <c r="A29" s="59"/>
      <c r="B29" s="59"/>
      <c r="C29" s="59"/>
      <c r="D29" s="59"/>
      <c r="E29" s="59"/>
      <c r="F29" s="59"/>
      <c r="G29" s="59"/>
      <c r="I29" s="12"/>
      <c r="J29" s="4"/>
      <c r="K29" s="4"/>
    </row>
  </sheetData>
  <mergeCells count="5">
    <mergeCell ref="B18:F18"/>
    <mergeCell ref="B19:F19"/>
    <mergeCell ref="B20:F20"/>
    <mergeCell ref="A21:G21"/>
    <mergeCell ref="B22:G22"/>
  </mergeCells>
  <printOptions horizontalCentered="1"/>
  <pageMargins left="0.25" right="0.25" top="0.5" bottom="0.5" header="0.3" footer="0.05"/>
  <pageSetup orientation="landscape" horizontalDpi="4294967292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K16"/>
  <sheetViews>
    <sheetView view="pageBreakPreview" topLeftCell="A2" zoomScaleSheetLayoutView="100" workbookViewId="0">
      <selection activeCell="E3" sqref="E3"/>
    </sheetView>
  </sheetViews>
  <sheetFormatPr defaultColWidth="9.140625" defaultRowHeight="11.25" x14ac:dyDescent="0.15"/>
  <cols>
    <col min="1" max="1" width="5.85546875" style="4" bestFit="1" customWidth="1"/>
    <col min="2" max="2" width="12.5703125" style="4" customWidth="1"/>
    <col min="3" max="3" width="50.42578125" style="4" customWidth="1"/>
    <col min="4" max="4" width="5" style="4" bestFit="1" customWidth="1"/>
    <col min="5" max="5" width="6.28515625" style="4" bestFit="1" customWidth="1"/>
    <col min="6" max="6" width="11.5703125" style="4" bestFit="1" customWidth="1"/>
    <col min="7" max="7" width="16.5703125" style="4" bestFit="1" customWidth="1"/>
    <col min="8" max="8" width="16.5703125" style="93" customWidth="1"/>
    <col min="9" max="9" width="9.140625" style="1"/>
    <col min="10" max="10" width="13.28515625" style="4" bestFit="1" customWidth="1"/>
    <col min="11" max="11" width="9.140625" style="1"/>
    <col min="12" max="16384" width="9.140625" style="4"/>
  </cols>
  <sheetData>
    <row r="1" spans="1:11" ht="25.5" x14ac:dyDescent="0.15">
      <c r="A1" s="95" t="s">
        <v>0</v>
      </c>
      <c r="B1" s="96" t="s">
        <v>5</v>
      </c>
      <c r="C1" s="96" t="s">
        <v>2</v>
      </c>
      <c r="D1" s="96" t="s">
        <v>3</v>
      </c>
      <c r="E1" s="96" t="s">
        <v>13</v>
      </c>
      <c r="F1" s="97" t="s">
        <v>11</v>
      </c>
      <c r="G1" s="97" t="s">
        <v>12</v>
      </c>
      <c r="H1" s="50" t="s">
        <v>120</v>
      </c>
      <c r="I1" s="40" t="s">
        <v>17</v>
      </c>
      <c r="J1" s="42" t="s">
        <v>110</v>
      </c>
      <c r="K1" s="1" t="s">
        <v>14</v>
      </c>
    </row>
    <row r="2" spans="1:11" s="59" customFormat="1" ht="191.25" x14ac:dyDescent="0.2">
      <c r="A2" s="51">
        <v>1</v>
      </c>
      <c r="B2" s="51" t="s">
        <v>269</v>
      </c>
      <c r="C2" s="63" t="s">
        <v>504</v>
      </c>
      <c r="D2" s="54" t="s">
        <v>105</v>
      </c>
      <c r="E2" s="51">
        <v>2</v>
      </c>
      <c r="F2" s="55">
        <f>H2*88*1.32</f>
        <v>310147.20000000001</v>
      </c>
      <c r="G2" s="56">
        <f t="shared" ref="G2" si="0">F2*E2</f>
        <v>620294.40000000002</v>
      </c>
      <c r="H2" s="89">
        <v>2670</v>
      </c>
      <c r="I2" s="89"/>
      <c r="J2" s="94">
        <v>8950</v>
      </c>
      <c r="K2" s="113">
        <f>12175/6.9</f>
        <v>1764.4927536231883</v>
      </c>
    </row>
    <row r="3" spans="1:11" s="59" customFormat="1" ht="102" x14ac:dyDescent="0.2">
      <c r="A3" s="51">
        <v>2</v>
      </c>
      <c r="B3" s="51" t="s">
        <v>269</v>
      </c>
      <c r="C3" s="63" t="s">
        <v>505</v>
      </c>
      <c r="D3" s="54" t="s">
        <v>109</v>
      </c>
      <c r="E3" s="51">
        <v>2</v>
      </c>
      <c r="F3" s="55">
        <f t="shared" ref="F3:F4" si="1">H3*88*1.32</f>
        <v>53433.600000000006</v>
      </c>
      <c r="G3" s="56">
        <f t="shared" ref="G3:G4" si="2">F3*E3</f>
        <v>106867.20000000001</v>
      </c>
      <c r="H3" s="89">
        <v>460</v>
      </c>
      <c r="I3" s="89"/>
      <c r="J3" s="94">
        <v>428</v>
      </c>
      <c r="K3" s="113">
        <f>3850/6.9</f>
        <v>557.97101449275362</v>
      </c>
    </row>
    <row r="4" spans="1:11" s="59" customFormat="1" ht="178.5" x14ac:dyDescent="0.2">
      <c r="A4" s="51">
        <v>3</v>
      </c>
      <c r="B4" s="51" t="s">
        <v>269</v>
      </c>
      <c r="C4" s="63" t="s">
        <v>506</v>
      </c>
      <c r="D4" s="54" t="s">
        <v>109</v>
      </c>
      <c r="E4" s="51">
        <v>2</v>
      </c>
      <c r="F4" s="55">
        <f t="shared" si="1"/>
        <v>31363.200000000001</v>
      </c>
      <c r="G4" s="56">
        <f t="shared" si="2"/>
        <v>62726.400000000001</v>
      </c>
      <c r="H4" s="89">
        <v>270</v>
      </c>
      <c r="I4" s="89"/>
      <c r="J4" s="94">
        <v>248</v>
      </c>
      <c r="K4" s="113">
        <f>2035/6.9</f>
        <v>294.92753623188406</v>
      </c>
    </row>
    <row r="5" spans="1:11" ht="12.75" x14ac:dyDescent="0.15">
      <c r="A5" s="51">
        <v>4</v>
      </c>
      <c r="B5" s="337" t="s">
        <v>7</v>
      </c>
      <c r="C5" s="337"/>
      <c r="D5" s="337"/>
      <c r="E5" s="337"/>
      <c r="F5" s="337"/>
      <c r="G5" s="57">
        <f>SUM(G2:G4)</f>
        <v>789888.00000000012</v>
      </c>
      <c r="H5" s="90"/>
      <c r="I5" s="46"/>
      <c r="J5" s="47"/>
    </row>
    <row r="6" spans="1:11" ht="12.75" x14ac:dyDescent="0.15">
      <c r="A6" s="51">
        <v>5</v>
      </c>
      <c r="B6" s="337" t="s">
        <v>100</v>
      </c>
      <c r="C6" s="337"/>
      <c r="D6" s="337"/>
      <c r="E6" s="337"/>
      <c r="F6" s="337"/>
      <c r="G6" s="57">
        <f>G5*18%</f>
        <v>142179.84000000003</v>
      </c>
      <c r="H6" s="90"/>
    </row>
    <row r="7" spans="1:11" ht="12.75" x14ac:dyDescent="0.15">
      <c r="A7" s="51">
        <v>6</v>
      </c>
      <c r="B7" s="337" t="s">
        <v>8</v>
      </c>
      <c r="C7" s="337"/>
      <c r="D7" s="337"/>
      <c r="E7" s="337"/>
      <c r="F7" s="337"/>
      <c r="G7" s="57">
        <f>G6+G5</f>
        <v>932067.84000000008</v>
      </c>
      <c r="H7" s="90"/>
    </row>
    <row r="8" spans="1:11" ht="12.75" x14ac:dyDescent="0.15">
      <c r="A8" s="344"/>
      <c r="B8" s="345"/>
      <c r="C8" s="345"/>
      <c r="D8" s="345"/>
      <c r="E8" s="345"/>
      <c r="F8" s="345"/>
      <c r="G8" s="346"/>
      <c r="H8" s="91"/>
    </row>
    <row r="9" spans="1:11" ht="140.25" x14ac:dyDescent="0.15">
      <c r="A9" s="58" t="s">
        <v>9</v>
      </c>
      <c r="B9" s="335" t="s">
        <v>381</v>
      </c>
      <c r="C9" s="335"/>
      <c r="D9" s="335"/>
      <c r="E9" s="335"/>
      <c r="F9" s="335"/>
      <c r="G9" s="336"/>
      <c r="H9" s="88"/>
    </row>
    <row r="10" spans="1:11" ht="12.75" x14ac:dyDescent="0.2">
      <c r="A10" s="59"/>
      <c r="B10" s="59"/>
      <c r="C10" s="59"/>
      <c r="D10" s="59"/>
      <c r="E10" s="59"/>
      <c r="F10" s="59"/>
      <c r="G10" s="59"/>
      <c r="H10" s="92"/>
    </row>
    <row r="11" spans="1:11" ht="12.75" x14ac:dyDescent="0.2">
      <c r="A11" s="59"/>
      <c r="B11" s="59"/>
      <c r="C11" s="59"/>
      <c r="D11" s="59"/>
      <c r="E11" s="59"/>
      <c r="F11" s="59"/>
      <c r="G11" s="59"/>
      <c r="H11" s="92"/>
    </row>
    <row r="12" spans="1:11" ht="12.75" x14ac:dyDescent="0.2">
      <c r="A12" s="59"/>
      <c r="B12" s="59"/>
      <c r="C12" s="59"/>
      <c r="D12" s="59"/>
      <c r="E12" s="59"/>
      <c r="F12" s="59"/>
      <c r="G12" s="59"/>
      <c r="H12" s="92"/>
    </row>
    <row r="13" spans="1:11" ht="12.75" x14ac:dyDescent="0.2">
      <c r="A13" s="59"/>
      <c r="B13" s="59"/>
      <c r="C13" s="59"/>
      <c r="D13" s="59"/>
      <c r="E13" s="59"/>
      <c r="F13" s="59"/>
      <c r="G13" s="59"/>
      <c r="H13" s="92"/>
    </row>
    <row r="14" spans="1:11" ht="12.75" x14ac:dyDescent="0.2">
      <c r="A14" s="59"/>
      <c r="B14" s="59"/>
      <c r="C14" s="59"/>
      <c r="D14" s="59"/>
      <c r="E14" s="59"/>
      <c r="F14" s="59"/>
      <c r="G14" s="59"/>
      <c r="H14" s="92"/>
    </row>
    <row r="15" spans="1:11" ht="12.75" x14ac:dyDescent="0.2">
      <c r="A15" s="59"/>
      <c r="B15" s="59"/>
      <c r="C15" s="59"/>
      <c r="D15" s="59"/>
      <c r="E15" s="59"/>
      <c r="F15" s="59"/>
      <c r="G15" s="59"/>
      <c r="H15" s="92"/>
    </row>
    <row r="16" spans="1:11" s="1" customFormat="1" ht="12.75" x14ac:dyDescent="0.2">
      <c r="A16" s="59"/>
      <c r="B16" s="59"/>
      <c r="C16" s="59"/>
      <c r="D16" s="59"/>
      <c r="E16" s="59"/>
      <c r="F16" s="59"/>
      <c r="G16" s="59"/>
      <c r="H16" s="92"/>
      <c r="J16" s="4"/>
    </row>
  </sheetData>
  <mergeCells count="5">
    <mergeCell ref="B5:F5"/>
    <mergeCell ref="B6:F6"/>
    <mergeCell ref="B7:F7"/>
    <mergeCell ref="A8:G8"/>
    <mergeCell ref="B9:G9"/>
  </mergeCells>
  <printOptions horizontalCentered="1"/>
  <pageMargins left="0.25" right="0.25" top="0.5" bottom="0.5" header="0.3" footer="0.05"/>
  <pageSetup orientation="landscape" horizontalDpi="4294967292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K15"/>
  <sheetViews>
    <sheetView view="pageBreakPreview" topLeftCell="A2" zoomScaleSheetLayoutView="100" workbookViewId="0">
      <selection activeCell="C2" sqref="C2"/>
    </sheetView>
  </sheetViews>
  <sheetFormatPr defaultColWidth="9.140625" defaultRowHeight="11.25" x14ac:dyDescent="0.15"/>
  <cols>
    <col min="1" max="1" width="5.85546875" style="4" bestFit="1" customWidth="1"/>
    <col min="2" max="2" width="12.5703125" style="4" customWidth="1"/>
    <col min="3" max="3" width="50.42578125" style="4" customWidth="1"/>
    <col min="4" max="4" width="5" style="4" bestFit="1" customWidth="1"/>
    <col min="5" max="5" width="6.28515625" style="4" bestFit="1" customWidth="1"/>
    <col min="6" max="6" width="11.5703125" style="4" bestFit="1" customWidth="1"/>
    <col min="7" max="7" width="16.5703125" style="4" bestFit="1" customWidth="1"/>
    <col min="8" max="8" width="16.5703125" style="93" customWidth="1"/>
    <col min="9" max="9" width="9.140625" style="1"/>
    <col min="10" max="10" width="13.28515625" style="4" bestFit="1" customWidth="1"/>
    <col min="11" max="11" width="9.140625" style="1"/>
    <col min="12" max="16384" width="9.140625" style="4"/>
  </cols>
  <sheetData>
    <row r="1" spans="1:11" ht="25.5" x14ac:dyDescent="0.15">
      <c r="A1" s="95" t="s">
        <v>0</v>
      </c>
      <c r="B1" s="96" t="s">
        <v>5</v>
      </c>
      <c r="C1" s="96" t="s">
        <v>2</v>
      </c>
      <c r="D1" s="96" t="s">
        <v>3</v>
      </c>
      <c r="E1" s="96" t="s">
        <v>13</v>
      </c>
      <c r="F1" s="97" t="s">
        <v>11</v>
      </c>
      <c r="G1" s="97" t="s">
        <v>12</v>
      </c>
      <c r="H1" s="50" t="s">
        <v>120</v>
      </c>
      <c r="I1" s="40" t="s">
        <v>17</v>
      </c>
      <c r="J1" s="42" t="s">
        <v>110</v>
      </c>
      <c r="K1" s="1" t="s">
        <v>14</v>
      </c>
    </row>
    <row r="2" spans="1:11" s="59" customFormat="1" ht="242.25" x14ac:dyDescent="0.2">
      <c r="A2" s="51">
        <v>1</v>
      </c>
      <c r="B2" s="51">
        <v>4000008284</v>
      </c>
      <c r="C2" s="63" t="s">
        <v>507</v>
      </c>
      <c r="D2" s="54" t="s">
        <v>105</v>
      </c>
      <c r="E2" s="51">
        <v>2</v>
      </c>
      <c r="F2" s="55">
        <f>H2*88*1.32</f>
        <v>220704</v>
      </c>
      <c r="G2" s="56">
        <f t="shared" ref="G2" si="0">F2*E2</f>
        <v>441408</v>
      </c>
      <c r="H2" s="89">
        <v>1900</v>
      </c>
      <c r="I2" s="89"/>
      <c r="J2" s="94">
        <v>1750</v>
      </c>
      <c r="K2" s="113"/>
    </row>
    <row r="3" spans="1:11" s="59" customFormat="1" ht="25.5" x14ac:dyDescent="0.2">
      <c r="A3" s="51">
        <v>2</v>
      </c>
      <c r="B3" s="51">
        <v>4000007107</v>
      </c>
      <c r="C3" s="63" t="s">
        <v>508</v>
      </c>
      <c r="D3" s="54" t="s">
        <v>109</v>
      </c>
      <c r="E3" s="51">
        <v>10</v>
      </c>
      <c r="F3" s="55">
        <f>H3*88*1.32</f>
        <v>4065.6000000000004</v>
      </c>
      <c r="G3" s="56">
        <f t="shared" ref="G3" si="1">F3*E3</f>
        <v>40656</v>
      </c>
      <c r="H3" s="89">
        <v>35</v>
      </c>
      <c r="I3" s="89"/>
      <c r="J3" s="94">
        <v>31</v>
      </c>
      <c r="K3" s="113"/>
    </row>
    <row r="4" spans="1:11" ht="12.75" x14ac:dyDescent="0.15">
      <c r="A4" s="51">
        <v>3</v>
      </c>
      <c r="B4" s="337" t="s">
        <v>7</v>
      </c>
      <c r="C4" s="337"/>
      <c r="D4" s="337"/>
      <c r="E4" s="337"/>
      <c r="F4" s="337"/>
      <c r="G4" s="57">
        <f>SUM(G3:G3)</f>
        <v>40656</v>
      </c>
      <c r="H4" s="90"/>
      <c r="I4" s="46"/>
      <c r="J4" s="47"/>
    </row>
    <row r="5" spans="1:11" ht="12.75" x14ac:dyDescent="0.15">
      <c r="A5" s="51">
        <v>4</v>
      </c>
      <c r="B5" s="337" t="s">
        <v>100</v>
      </c>
      <c r="C5" s="337"/>
      <c r="D5" s="337"/>
      <c r="E5" s="337"/>
      <c r="F5" s="337"/>
      <c r="G5" s="57">
        <f>G4*18%</f>
        <v>7318.08</v>
      </c>
      <c r="H5" s="90"/>
    </row>
    <row r="6" spans="1:11" ht="12.75" x14ac:dyDescent="0.15">
      <c r="A6" s="51">
        <v>5</v>
      </c>
      <c r="B6" s="337" t="s">
        <v>8</v>
      </c>
      <c r="C6" s="337"/>
      <c r="D6" s="337"/>
      <c r="E6" s="337"/>
      <c r="F6" s="337"/>
      <c r="G6" s="57">
        <f>G5+G4</f>
        <v>47974.080000000002</v>
      </c>
      <c r="H6" s="90"/>
    </row>
    <row r="7" spans="1:11" ht="12.75" x14ac:dyDescent="0.15">
      <c r="A7" s="344"/>
      <c r="B7" s="345"/>
      <c r="C7" s="345"/>
      <c r="D7" s="345"/>
      <c r="E7" s="345"/>
      <c r="F7" s="345"/>
      <c r="G7" s="346"/>
      <c r="H7" s="91"/>
    </row>
    <row r="8" spans="1:11" ht="140.25" x14ac:dyDescent="0.15">
      <c r="A8" s="58" t="s">
        <v>9</v>
      </c>
      <c r="B8" s="335" t="s">
        <v>381</v>
      </c>
      <c r="C8" s="335"/>
      <c r="D8" s="335"/>
      <c r="E8" s="335"/>
      <c r="F8" s="335"/>
      <c r="G8" s="336"/>
      <c r="H8" s="88"/>
    </row>
    <row r="9" spans="1:11" ht="12.75" x14ac:dyDescent="0.2">
      <c r="A9" s="59"/>
      <c r="B9" s="59"/>
      <c r="C9" s="59"/>
      <c r="D9" s="59"/>
      <c r="E9" s="59"/>
      <c r="F9" s="59"/>
      <c r="G9" s="59"/>
      <c r="H9" s="92"/>
    </row>
    <row r="10" spans="1:11" ht="12.75" x14ac:dyDescent="0.2">
      <c r="A10" s="59"/>
      <c r="B10" s="59"/>
      <c r="C10" s="59"/>
      <c r="D10" s="59"/>
      <c r="E10" s="59"/>
      <c r="F10" s="59"/>
      <c r="G10" s="59"/>
      <c r="H10" s="92"/>
    </row>
    <row r="11" spans="1:11" ht="12.75" x14ac:dyDescent="0.2">
      <c r="A11" s="59"/>
      <c r="B11" s="59"/>
      <c r="C11" s="59"/>
      <c r="D11" s="59"/>
      <c r="E11" s="59"/>
      <c r="F11" s="59"/>
      <c r="G11" s="59"/>
      <c r="H11" s="92"/>
    </row>
    <row r="12" spans="1:11" ht="12.75" x14ac:dyDescent="0.2">
      <c r="A12" s="59"/>
      <c r="B12" s="59"/>
      <c r="C12" s="59"/>
      <c r="D12" s="59"/>
      <c r="E12" s="59"/>
      <c r="F12" s="59"/>
      <c r="G12" s="59"/>
      <c r="H12" s="92"/>
    </row>
    <row r="13" spans="1:11" ht="12.75" x14ac:dyDescent="0.2">
      <c r="A13" s="59"/>
      <c r="B13" s="59"/>
      <c r="C13" s="59"/>
      <c r="D13" s="59"/>
      <c r="E13" s="59"/>
      <c r="F13" s="59"/>
      <c r="G13" s="59"/>
      <c r="H13" s="92"/>
    </row>
    <row r="14" spans="1:11" ht="12.75" x14ac:dyDescent="0.2">
      <c r="A14" s="59"/>
      <c r="B14" s="59"/>
      <c r="C14" s="59"/>
      <c r="D14" s="59"/>
      <c r="E14" s="59"/>
      <c r="F14" s="59"/>
      <c r="G14" s="59"/>
      <c r="H14" s="92"/>
    </row>
    <row r="15" spans="1:11" s="1" customFormat="1" ht="12.75" x14ac:dyDescent="0.2">
      <c r="A15" s="59"/>
      <c r="B15" s="59"/>
      <c r="C15" s="59"/>
      <c r="D15" s="59"/>
      <c r="E15" s="59"/>
      <c r="F15" s="59"/>
      <c r="G15" s="59"/>
      <c r="H15" s="92"/>
      <c r="J15" s="4"/>
    </row>
  </sheetData>
  <mergeCells count="5">
    <mergeCell ref="B4:F4"/>
    <mergeCell ref="B5:F5"/>
    <mergeCell ref="B6:F6"/>
    <mergeCell ref="A7:G7"/>
    <mergeCell ref="B8:G8"/>
  </mergeCells>
  <printOptions horizontalCentered="1"/>
  <pageMargins left="0.25" right="0.25" top="0.5" bottom="0.5" header="0.3" footer="0.05"/>
  <pageSetup orientation="landscape" horizontalDpi="4294967292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A1:K16"/>
  <sheetViews>
    <sheetView view="pageBreakPreview" zoomScaleSheetLayoutView="100" workbookViewId="0">
      <selection activeCell="B5" sqref="B5:F5"/>
    </sheetView>
  </sheetViews>
  <sheetFormatPr defaultColWidth="9.140625" defaultRowHeight="11.25" x14ac:dyDescent="0.15"/>
  <cols>
    <col min="1" max="1" width="5.85546875" style="4" bestFit="1" customWidth="1"/>
    <col min="2" max="2" width="12.5703125" style="4" customWidth="1"/>
    <col min="3" max="3" width="50.42578125" style="4" customWidth="1"/>
    <col min="4" max="4" width="5" style="4" bestFit="1" customWidth="1"/>
    <col min="5" max="5" width="6.28515625" style="4" bestFit="1" customWidth="1"/>
    <col min="6" max="6" width="11.5703125" style="4" bestFit="1" customWidth="1"/>
    <col min="7" max="7" width="16.5703125" style="4" bestFit="1" customWidth="1"/>
    <col min="8" max="8" width="9.140625" style="1"/>
    <col min="9" max="9" width="10.5703125" style="12" bestFit="1" customWidth="1"/>
    <col min="10" max="10" width="13.28515625" style="4" bestFit="1" customWidth="1"/>
    <col min="11" max="16384" width="9.140625" style="4"/>
  </cols>
  <sheetData>
    <row r="1" spans="1:11" ht="25.5" x14ac:dyDescent="0.15">
      <c r="A1" s="48" t="s">
        <v>0</v>
      </c>
      <c r="B1" s="49" t="s">
        <v>5</v>
      </c>
      <c r="C1" s="49" t="s">
        <v>2</v>
      </c>
      <c r="D1" s="49" t="s">
        <v>3</v>
      </c>
      <c r="E1" s="49" t="s">
        <v>13</v>
      </c>
      <c r="F1" s="50" t="s">
        <v>11</v>
      </c>
      <c r="G1" s="50" t="s">
        <v>12</v>
      </c>
      <c r="H1" s="40" t="s">
        <v>17</v>
      </c>
      <c r="I1" s="41" t="s">
        <v>110</v>
      </c>
      <c r="J1" s="42" t="s">
        <v>10</v>
      </c>
      <c r="K1" s="4" t="s">
        <v>107</v>
      </c>
    </row>
    <row r="2" spans="1:11" ht="66.95" customHeight="1" x14ac:dyDescent="0.15">
      <c r="A2" s="51">
        <v>1</v>
      </c>
      <c r="B2" s="52">
        <v>4000008285</v>
      </c>
      <c r="C2" s="53" t="s">
        <v>111</v>
      </c>
      <c r="D2" s="54" t="s">
        <v>109</v>
      </c>
      <c r="E2" s="51">
        <v>1</v>
      </c>
      <c r="F2" s="55">
        <f>88*1.33*H2</f>
        <v>234080</v>
      </c>
      <c r="G2" s="56">
        <f t="shared" ref="G2" si="0">F2*E2</f>
        <v>234080</v>
      </c>
      <c r="H2" s="43">
        <v>2000</v>
      </c>
      <c r="I2" s="44">
        <v>2000</v>
      </c>
      <c r="J2" s="45"/>
    </row>
    <row r="3" spans="1:11" ht="38.25" x14ac:dyDescent="0.15">
      <c r="A3" s="51">
        <v>2</v>
      </c>
      <c r="B3" s="51">
        <v>4000008265</v>
      </c>
      <c r="C3" s="53" t="s">
        <v>399</v>
      </c>
      <c r="D3" s="54" t="s">
        <v>109</v>
      </c>
      <c r="E3" s="51">
        <v>2</v>
      </c>
      <c r="F3" s="55">
        <f>88*1.33*H3</f>
        <v>13459.6</v>
      </c>
      <c r="G3" s="56">
        <f t="shared" ref="G3" si="1">F3*E3</f>
        <v>26919.200000000001</v>
      </c>
      <c r="H3" s="43">
        <v>115</v>
      </c>
      <c r="I3" s="44"/>
      <c r="J3" s="45">
        <v>114</v>
      </c>
    </row>
    <row r="4" spans="1:11" ht="38.25" x14ac:dyDescent="0.15">
      <c r="A4" s="51">
        <v>3</v>
      </c>
      <c r="B4" s="51">
        <v>4000006793</v>
      </c>
      <c r="C4" s="53" t="s">
        <v>509</v>
      </c>
      <c r="D4" s="54" t="s">
        <v>109</v>
      </c>
      <c r="E4" s="51">
        <v>4</v>
      </c>
      <c r="F4" s="55">
        <f>88*1.33*H4</f>
        <v>146300</v>
      </c>
      <c r="G4" s="56">
        <f t="shared" ref="G4" si="2">F4*E4</f>
        <v>585200</v>
      </c>
      <c r="H4" s="43">
        <v>1250</v>
      </c>
      <c r="I4" s="44">
        <v>1250</v>
      </c>
      <c r="J4" s="45"/>
    </row>
    <row r="5" spans="1:11" ht="12.75" x14ac:dyDescent="0.15">
      <c r="A5" s="51">
        <v>4</v>
      </c>
      <c r="B5" s="337" t="s">
        <v>7</v>
      </c>
      <c r="C5" s="337"/>
      <c r="D5" s="337"/>
      <c r="E5" s="337"/>
      <c r="F5" s="337"/>
      <c r="G5" s="57">
        <f>SUM(G2:G4)</f>
        <v>846199.2</v>
      </c>
      <c r="H5" s="46"/>
      <c r="I5" s="46"/>
      <c r="J5" s="47"/>
    </row>
    <row r="6" spans="1:11" ht="12.75" x14ac:dyDescent="0.15">
      <c r="A6" s="51">
        <v>5</v>
      </c>
      <c r="B6" s="337" t="s">
        <v>112</v>
      </c>
      <c r="C6" s="337"/>
      <c r="D6" s="337"/>
      <c r="E6" s="337"/>
      <c r="F6" s="337"/>
      <c r="G6" s="57">
        <f>G5*18%</f>
        <v>152315.856</v>
      </c>
    </row>
    <row r="7" spans="1:11" ht="12.75" x14ac:dyDescent="0.15">
      <c r="A7" s="51">
        <v>6</v>
      </c>
      <c r="B7" s="337" t="s">
        <v>8</v>
      </c>
      <c r="C7" s="337"/>
      <c r="D7" s="337"/>
      <c r="E7" s="337"/>
      <c r="F7" s="337"/>
      <c r="G7" s="57">
        <f>G6+G5</f>
        <v>998515.05599999998</v>
      </c>
    </row>
    <row r="8" spans="1:11" ht="12.75" x14ac:dyDescent="0.15">
      <c r="A8" s="338"/>
      <c r="B8" s="339"/>
      <c r="C8" s="339"/>
      <c r="D8" s="339"/>
      <c r="E8" s="339"/>
      <c r="F8" s="339"/>
      <c r="G8" s="340"/>
    </row>
    <row r="9" spans="1:11" ht="146.25" customHeight="1" x14ac:dyDescent="0.15">
      <c r="A9" s="58" t="s">
        <v>9</v>
      </c>
      <c r="B9" s="335" t="s">
        <v>108</v>
      </c>
      <c r="C9" s="335"/>
      <c r="D9" s="335"/>
      <c r="E9" s="335"/>
      <c r="F9" s="335"/>
      <c r="G9" s="336"/>
    </row>
    <row r="10" spans="1:11" ht="12.75" x14ac:dyDescent="0.2">
      <c r="A10" s="59"/>
      <c r="B10" s="59"/>
      <c r="C10" s="59"/>
      <c r="D10" s="59"/>
      <c r="E10" s="59"/>
      <c r="F10" s="59"/>
      <c r="G10" s="59"/>
    </row>
    <row r="11" spans="1:11" ht="12.75" x14ac:dyDescent="0.2">
      <c r="A11" s="59"/>
      <c r="B11" s="59"/>
      <c r="C11" s="59"/>
      <c r="D11" s="59"/>
      <c r="E11" s="59"/>
      <c r="F11" s="59"/>
      <c r="G11" s="59"/>
    </row>
    <row r="12" spans="1:11" ht="12.75" x14ac:dyDescent="0.2">
      <c r="A12" s="59"/>
      <c r="B12" s="59"/>
      <c r="C12" s="59"/>
      <c r="D12" s="59"/>
      <c r="E12" s="59"/>
      <c r="F12" s="59"/>
      <c r="G12" s="59"/>
    </row>
    <row r="13" spans="1:11" ht="12.75" x14ac:dyDescent="0.2">
      <c r="A13" s="59"/>
      <c r="B13" s="59"/>
      <c r="C13" s="59"/>
      <c r="D13" s="59"/>
      <c r="E13" s="59"/>
      <c r="F13" s="59"/>
      <c r="G13" s="59"/>
    </row>
    <row r="14" spans="1:11" ht="12.75" x14ac:dyDescent="0.2">
      <c r="A14" s="59"/>
      <c r="B14" s="59"/>
      <c r="C14" s="59"/>
      <c r="D14" s="59"/>
      <c r="E14" s="59"/>
      <c r="F14" s="59"/>
      <c r="G14" s="59"/>
    </row>
    <row r="15" spans="1:11" ht="12.75" x14ac:dyDescent="0.2">
      <c r="A15" s="59"/>
      <c r="B15" s="59"/>
      <c r="C15" s="59"/>
      <c r="D15" s="59"/>
      <c r="E15" s="59"/>
      <c r="F15" s="59"/>
      <c r="G15" s="59"/>
    </row>
    <row r="16" spans="1:11" ht="12.75" x14ac:dyDescent="0.2">
      <c r="A16" s="59"/>
      <c r="B16" s="59"/>
      <c r="C16" s="59"/>
      <c r="D16" s="59"/>
      <c r="E16" s="59"/>
      <c r="F16" s="59"/>
      <c r="G16" s="59"/>
    </row>
  </sheetData>
  <mergeCells count="5">
    <mergeCell ref="B5:F5"/>
    <mergeCell ref="B6:F6"/>
    <mergeCell ref="B7:F7"/>
    <mergeCell ref="A8:G8"/>
    <mergeCell ref="B9:G9"/>
  </mergeCells>
  <printOptions horizontalCentered="1"/>
  <pageMargins left="0.25" right="0.25" top="0.5" bottom="0.5" header="0.3" footer="0.05"/>
  <pageSetup orientation="landscape" horizontalDpi="4294967292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L16"/>
  <sheetViews>
    <sheetView view="pageBreakPreview" zoomScaleSheetLayoutView="100" workbookViewId="0">
      <selection activeCell="F2" sqref="F2"/>
    </sheetView>
  </sheetViews>
  <sheetFormatPr defaultColWidth="9.140625" defaultRowHeight="11.25" x14ac:dyDescent="0.15"/>
  <cols>
    <col min="1" max="1" width="5.85546875" style="4" bestFit="1" customWidth="1"/>
    <col min="2" max="2" width="12.5703125" style="4" customWidth="1"/>
    <col min="3" max="3" width="50.42578125" style="4" customWidth="1"/>
    <col min="4" max="4" width="5" style="4" bestFit="1" customWidth="1"/>
    <col min="5" max="5" width="6.28515625" style="4" bestFit="1" customWidth="1"/>
    <col min="6" max="7" width="11.5703125" style="4" bestFit="1" customWidth="1"/>
    <col min="8" max="8" width="16.5703125" style="4" bestFit="1" customWidth="1"/>
    <col min="9" max="9" width="9.140625" style="1"/>
    <col min="10" max="10" width="10.5703125" style="12" bestFit="1" customWidth="1"/>
    <col min="11" max="11" width="13.28515625" style="4" bestFit="1" customWidth="1"/>
    <col min="12" max="16384" width="9.140625" style="4"/>
  </cols>
  <sheetData>
    <row r="1" spans="1:12" ht="25.5" x14ac:dyDescent="0.15">
      <c r="A1" s="48" t="s">
        <v>0</v>
      </c>
      <c r="B1" s="49" t="s">
        <v>5</v>
      </c>
      <c r="C1" s="49" t="s">
        <v>2</v>
      </c>
      <c r="D1" s="49" t="s">
        <v>3</v>
      </c>
      <c r="E1" s="49" t="s">
        <v>13</v>
      </c>
      <c r="F1" s="50" t="s">
        <v>11</v>
      </c>
      <c r="G1" s="50" t="s">
        <v>303</v>
      </c>
      <c r="H1" s="50" t="s">
        <v>12</v>
      </c>
      <c r="I1" s="40" t="s">
        <v>17</v>
      </c>
      <c r="J1" s="41" t="s">
        <v>110</v>
      </c>
      <c r="K1" s="42" t="s">
        <v>10</v>
      </c>
      <c r="L1" s="4" t="s">
        <v>107</v>
      </c>
    </row>
    <row r="2" spans="1:12" ht="66.95" customHeight="1" x14ac:dyDescent="0.15">
      <c r="A2" s="51">
        <v>1</v>
      </c>
      <c r="B2" s="52">
        <v>4000010963</v>
      </c>
      <c r="C2" s="53" t="s">
        <v>513</v>
      </c>
      <c r="D2" s="54" t="s">
        <v>109</v>
      </c>
      <c r="E2" s="51">
        <v>4</v>
      </c>
      <c r="F2" s="55">
        <f>I2*90*1.3</f>
        <v>49725</v>
      </c>
      <c r="G2" s="55">
        <f>F2*18%</f>
        <v>8950.5</v>
      </c>
      <c r="H2" s="56">
        <f>E2*(F2+G2)</f>
        <v>234702</v>
      </c>
      <c r="I2" s="43">
        <v>425</v>
      </c>
      <c r="J2" s="44">
        <v>400</v>
      </c>
      <c r="K2" s="45"/>
    </row>
    <row r="3" spans="1:12" ht="66.95" customHeight="1" x14ac:dyDescent="0.15">
      <c r="A3" s="51">
        <v>2</v>
      </c>
      <c r="B3" s="52">
        <v>4000010963</v>
      </c>
      <c r="C3" s="53" t="s">
        <v>521</v>
      </c>
      <c r="D3" s="54" t="s">
        <v>109</v>
      </c>
      <c r="E3" s="51">
        <v>4</v>
      </c>
      <c r="F3" s="55">
        <f>I3*90*1.3</f>
        <v>1316718</v>
      </c>
      <c r="G3" s="55">
        <f>F3*18%</f>
        <v>237009.24</v>
      </c>
      <c r="H3" s="56">
        <f>E3*(F3+G3)</f>
        <v>6214908.96</v>
      </c>
      <c r="I3" s="43">
        <f>J3</f>
        <v>11254</v>
      </c>
      <c r="J3" s="44">
        <v>11254</v>
      </c>
      <c r="K3" s="45"/>
    </row>
    <row r="4" spans="1:12" ht="51" x14ac:dyDescent="0.15">
      <c r="A4" s="51">
        <v>2</v>
      </c>
      <c r="B4" s="51">
        <v>4000010987</v>
      </c>
      <c r="C4" s="53" t="s">
        <v>510</v>
      </c>
      <c r="D4" s="54" t="s">
        <v>109</v>
      </c>
      <c r="E4" s="51">
        <v>4</v>
      </c>
      <c r="F4" s="55">
        <f>I4*90*1.3</f>
        <v>58500</v>
      </c>
      <c r="G4" s="55">
        <f>F4*18%</f>
        <v>10530</v>
      </c>
      <c r="H4" s="56">
        <f>E4*(F4+G4)</f>
        <v>276120</v>
      </c>
      <c r="I4" s="43">
        <v>500</v>
      </c>
      <c r="J4" s="44">
        <v>475</v>
      </c>
      <c r="K4" s="45"/>
    </row>
    <row r="5" spans="1:12" ht="12.75" x14ac:dyDescent="0.15">
      <c r="A5" s="51">
        <v>3</v>
      </c>
      <c r="B5" s="337" t="s">
        <v>7</v>
      </c>
      <c r="C5" s="337"/>
      <c r="D5" s="337"/>
      <c r="E5" s="337"/>
      <c r="F5" s="337"/>
      <c r="G5" s="337"/>
      <c r="H5" s="57">
        <f>SUM(H3:H4)</f>
        <v>6491028.96</v>
      </c>
      <c r="I5" s="46"/>
      <c r="J5" s="46"/>
      <c r="K5" s="47"/>
    </row>
    <row r="6" spans="1:12" ht="12.75" x14ac:dyDescent="0.15">
      <c r="A6" s="51">
        <v>4</v>
      </c>
      <c r="B6" s="337" t="s">
        <v>112</v>
      </c>
      <c r="C6" s="337"/>
      <c r="D6" s="337"/>
      <c r="E6" s="337"/>
      <c r="F6" s="337"/>
      <c r="G6" s="337"/>
      <c r="H6" s="57">
        <f>H5*18%</f>
        <v>1168385.2127999999</v>
      </c>
    </row>
    <row r="7" spans="1:12" ht="12.75" x14ac:dyDescent="0.15">
      <c r="A7" s="51">
        <v>5</v>
      </c>
      <c r="B7" s="337" t="s">
        <v>8</v>
      </c>
      <c r="C7" s="337"/>
      <c r="D7" s="337"/>
      <c r="E7" s="337"/>
      <c r="F7" s="337"/>
      <c r="G7" s="337"/>
      <c r="H7" s="57">
        <f>H6+H5</f>
        <v>7659414.1727999998</v>
      </c>
    </row>
    <row r="8" spans="1:12" ht="12.75" x14ac:dyDescent="0.15">
      <c r="A8" s="338"/>
      <c r="B8" s="339"/>
      <c r="C8" s="339"/>
      <c r="D8" s="339"/>
      <c r="E8" s="339"/>
      <c r="F8" s="339"/>
      <c r="G8" s="339"/>
      <c r="H8" s="340"/>
    </row>
    <row r="9" spans="1:12" ht="146.25" customHeight="1" x14ac:dyDescent="0.15">
      <c r="A9" s="58" t="s">
        <v>9</v>
      </c>
      <c r="B9" s="335" t="s">
        <v>108</v>
      </c>
      <c r="C9" s="335"/>
      <c r="D9" s="335"/>
      <c r="E9" s="335"/>
      <c r="F9" s="335"/>
      <c r="G9" s="335"/>
      <c r="H9" s="336"/>
    </row>
    <row r="10" spans="1:12" ht="12.75" x14ac:dyDescent="0.2">
      <c r="A10" s="59"/>
      <c r="B10" s="59"/>
      <c r="C10" s="59"/>
      <c r="D10" s="59"/>
      <c r="E10" s="59"/>
      <c r="F10" s="59"/>
      <c r="G10" s="59"/>
      <c r="H10" s="59"/>
    </row>
    <row r="11" spans="1:12" ht="12.75" x14ac:dyDescent="0.2">
      <c r="A11" s="59"/>
      <c r="B11" s="59"/>
      <c r="C11" s="59"/>
      <c r="D11" s="59"/>
      <c r="E11" s="59"/>
      <c r="F11" s="59"/>
      <c r="G11" s="59"/>
      <c r="H11" s="59"/>
    </row>
    <row r="12" spans="1:12" ht="12.75" x14ac:dyDescent="0.2">
      <c r="A12" s="59"/>
      <c r="B12" s="59"/>
      <c r="C12" s="59"/>
      <c r="D12" s="59"/>
      <c r="E12" s="59"/>
      <c r="F12" s="59"/>
      <c r="G12" s="59"/>
      <c r="H12" s="59"/>
    </row>
    <row r="13" spans="1:12" ht="12.75" x14ac:dyDescent="0.2">
      <c r="A13" s="59"/>
      <c r="B13" s="59"/>
      <c r="C13" s="59"/>
      <c r="D13" s="59"/>
      <c r="E13" s="59"/>
      <c r="F13" s="59"/>
      <c r="G13" s="59"/>
      <c r="H13" s="59"/>
    </row>
    <row r="14" spans="1:12" ht="12.75" x14ac:dyDescent="0.2">
      <c r="A14" s="59"/>
      <c r="B14" s="59"/>
      <c r="C14" s="59"/>
      <c r="D14" s="59"/>
      <c r="E14" s="59"/>
      <c r="F14" s="59"/>
      <c r="G14" s="59"/>
      <c r="H14" s="59"/>
    </row>
    <row r="15" spans="1:12" ht="12.75" x14ac:dyDescent="0.2">
      <c r="A15" s="59"/>
      <c r="B15" s="59"/>
      <c r="C15" s="59"/>
      <c r="D15" s="59"/>
      <c r="E15" s="59"/>
      <c r="F15" s="59"/>
      <c r="G15" s="59"/>
      <c r="H15" s="59"/>
    </row>
    <row r="16" spans="1:12" ht="12.75" x14ac:dyDescent="0.2">
      <c r="A16" s="59"/>
      <c r="B16" s="59"/>
      <c r="C16" s="59"/>
      <c r="D16" s="59"/>
      <c r="E16" s="59"/>
      <c r="F16" s="59"/>
      <c r="G16" s="59"/>
      <c r="H16" s="59"/>
    </row>
  </sheetData>
  <mergeCells count="5">
    <mergeCell ref="B5:G5"/>
    <mergeCell ref="B6:G6"/>
    <mergeCell ref="B7:G7"/>
    <mergeCell ref="A8:H8"/>
    <mergeCell ref="B9:H9"/>
  </mergeCells>
  <printOptions horizontalCentered="1"/>
  <pageMargins left="0.25" right="0.25" top="0.5" bottom="0.5" header="0.3" footer="0.05"/>
  <pageSetup orientation="landscape" horizontalDpi="4294967292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A1:K15"/>
  <sheetViews>
    <sheetView view="pageBreakPreview" zoomScaleSheetLayoutView="100" workbookViewId="0">
      <selection activeCell="I3" sqref="I3"/>
    </sheetView>
  </sheetViews>
  <sheetFormatPr defaultColWidth="9.140625" defaultRowHeight="11.25" x14ac:dyDescent="0.15"/>
  <cols>
    <col min="1" max="1" width="5.85546875" style="4" bestFit="1" customWidth="1"/>
    <col min="2" max="2" width="12.5703125" style="4" customWidth="1"/>
    <col min="3" max="3" width="50.42578125" style="4" customWidth="1"/>
    <col min="4" max="4" width="5" style="4" bestFit="1" customWidth="1"/>
    <col min="5" max="5" width="6.28515625" style="4" bestFit="1" customWidth="1"/>
    <col min="6" max="6" width="11.5703125" style="4" bestFit="1" customWidth="1"/>
    <col min="7" max="7" width="16.5703125" style="4" bestFit="1" customWidth="1"/>
    <col min="8" max="8" width="9.140625" style="1"/>
    <col min="9" max="9" width="10.5703125" style="12" bestFit="1" customWidth="1"/>
    <col min="10" max="10" width="13.28515625" style="4" bestFit="1" customWidth="1"/>
    <col min="11" max="16384" width="9.140625" style="4"/>
  </cols>
  <sheetData>
    <row r="1" spans="1:11" ht="25.5" x14ac:dyDescent="0.15">
      <c r="A1" s="48" t="s">
        <v>0</v>
      </c>
      <c r="B1" s="49" t="s">
        <v>5</v>
      </c>
      <c r="C1" s="49" t="s">
        <v>2</v>
      </c>
      <c r="D1" s="49" t="s">
        <v>3</v>
      </c>
      <c r="E1" s="49" t="s">
        <v>13</v>
      </c>
      <c r="F1" s="50" t="s">
        <v>11</v>
      </c>
      <c r="G1" s="50" t="s">
        <v>12</v>
      </c>
      <c r="H1" s="40" t="s">
        <v>17</v>
      </c>
      <c r="I1" s="41" t="s">
        <v>110</v>
      </c>
      <c r="J1" s="42" t="s">
        <v>516</v>
      </c>
      <c r="K1" s="4" t="s">
        <v>107</v>
      </c>
    </row>
    <row r="2" spans="1:11" ht="80.45" customHeight="1" x14ac:dyDescent="0.15">
      <c r="A2" s="51">
        <v>1</v>
      </c>
      <c r="B2" s="51">
        <v>4000003584</v>
      </c>
      <c r="C2" s="53" t="s">
        <v>511</v>
      </c>
      <c r="D2" s="54" t="s">
        <v>109</v>
      </c>
      <c r="E2" s="51">
        <v>12</v>
      </c>
      <c r="F2" s="55">
        <f>88*1.33*H2</f>
        <v>41549.200000000004</v>
      </c>
      <c r="G2" s="56">
        <f t="shared" ref="G2:G3" si="0">F2*E2</f>
        <v>498590.4</v>
      </c>
      <c r="H2" s="43">
        <v>355</v>
      </c>
      <c r="I2" s="44">
        <v>345</v>
      </c>
      <c r="J2" s="45"/>
    </row>
    <row r="3" spans="1:11" ht="51" x14ac:dyDescent="0.15">
      <c r="A3" s="51">
        <v>2</v>
      </c>
      <c r="B3" s="51">
        <v>4000003586</v>
      </c>
      <c r="C3" s="53" t="s">
        <v>512</v>
      </c>
      <c r="D3" s="54" t="s">
        <v>109</v>
      </c>
      <c r="E3" s="51">
        <v>12</v>
      </c>
      <c r="F3" s="55">
        <v>29393</v>
      </c>
      <c r="G3" s="56">
        <f t="shared" si="0"/>
        <v>352716</v>
      </c>
      <c r="H3" s="43"/>
      <c r="I3" s="44">
        <v>169</v>
      </c>
      <c r="J3" s="45">
        <v>359</v>
      </c>
    </row>
    <row r="4" spans="1:11" ht="12.75" x14ac:dyDescent="0.15">
      <c r="A4" s="51">
        <v>3</v>
      </c>
      <c r="B4" s="337" t="s">
        <v>7</v>
      </c>
      <c r="C4" s="337"/>
      <c r="D4" s="337"/>
      <c r="E4" s="337"/>
      <c r="F4" s="337"/>
      <c r="G4" s="57">
        <f>SUM(G2:G3)</f>
        <v>851306.4</v>
      </c>
      <c r="H4" s="46"/>
      <c r="I4" s="46"/>
      <c r="J4" s="47"/>
    </row>
    <row r="5" spans="1:11" ht="12.75" x14ac:dyDescent="0.15">
      <c r="A5" s="51">
        <v>4</v>
      </c>
      <c r="B5" s="337" t="s">
        <v>112</v>
      </c>
      <c r="C5" s="337"/>
      <c r="D5" s="337"/>
      <c r="E5" s="337"/>
      <c r="F5" s="337"/>
      <c r="G5" s="57">
        <f>G4*18%</f>
        <v>153235.152</v>
      </c>
    </row>
    <row r="6" spans="1:11" ht="12.75" x14ac:dyDescent="0.15">
      <c r="A6" s="51">
        <v>5</v>
      </c>
      <c r="B6" s="337" t="s">
        <v>8</v>
      </c>
      <c r="C6" s="337"/>
      <c r="D6" s="337"/>
      <c r="E6" s="337"/>
      <c r="F6" s="337"/>
      <c r="G6" s="57">
        <f>G5+G4</f>
        <v>1004541.552</v>
      </c>
    </row>
    <row r="7" spans="1:11" ht="12.75" x14ac:dyDescent="0.15">
      <c r="A7" s="338"/>
      <c r="B7" s="339"/>
      <c r="C7" s="339"/>
      <c r="D7" s="339"/>
      <c r="E7" s="339"/>
      <c r="F7" s="339"/>
      <c r="G7" s="340"/>
    </row>
    <row r="8" spans="1:11" ht="146.25" customHeight="1" x14ac:dyDescent="0.15">
      <c r="A8" s="58" t="s">
        <v>9</v>
      </c>
      <c r="B8" s="335" t="s">
        <v>108</v>
      </c>
      <c r="C8" s="335"/>
      <c r="D8" s="335"/>
      <c r="E8" s="335"/>
      <c r="F8" s="335"/>
      <c r="G8" s="336"/>
    </row>
    <row r="9" spans="1:11" ht="12.75" x14ac:dyDescent="0.2">
      <c r="A9" s="59"/>
      <c r="B9" s="59"/>
      <c r="C9" s="59"/>
      <c r="D9" s="59"/>
      <c r="E9" s="59"/>
      <c r="F9" s="59"/>
      <c r="G9" s="59"/>
    </row>
    <row r="10" spans="1:11" ht="12.75" x14ac:dyDescent="0.2">
      <c r="A10" s="59"/>
      <c r="B10" s="59"/>
      <c r="C10" s="59"/>
      <c r="D10" s="59"/>
      <c r="E10" s="59"/>
      <c r="F10" s="59"/>
      <c r="G10" s="59"/>
    </row>
    <row r="11" spans="1:11" ht="12.75" x14ac:dyDescent="0.2">
      <c r="A11" s="59"/>
      <c r="B11" s="59"/>
      <c r="C11" s="59"/>
      <c r="D11" s="59"/>
      <c r="E11" s="59"/>
      <c r="F11" s="59"/>
      <c r="G11" s="59"/>
    </row>
    <row r="12" spans="1:11" ht="12.75" x14ac:dyDescent="0.2">
      <c r="A12" s="59"/>
      <c r="B12" s="59"/>
      <c r="C12" s="59"/>
      <c r="D12" s="59"/>
      <c r="E12" s="59"/>
      <c r="F12" s="59"/>
      <c r="G12" s="59"/>
    </row>
    <row r="13" spans="1:11" ht="12.75" x14ac:dyDescent="0.2">
      <c r="A13" s="59"/>
      <c r="B13" s="59"/>
      <c r="C13" s="59"/>
      <c r="D13" s="59"/>
      <c r="E13" s="59"/>
      <c r="F13" s="59"/>
      <c r="G13" s="59"/>
    </row>
    <row r="14" spans="1:11" ht="12.75" x14ac:dyDescent="0.2">
      <c r="A14" s="59"/>
      <c r="B14" s="59"/>
      <c r="C14" s="59"/>
      <c r="D14" s="59"/>
      <c r="E14" s="59"/>
      <c r="F14" s="59"/>
      <c r="G14" s="59"/>
    </row>
    <row r="15" spans="1:11" ht="12.75" x14ac:dyDescent="0.2">
      <c r="A15" s="59"/>
      <c r="B15" s="59"/>
      <c r="C15" s="59"/>
      <c r="D15" s="59"/>
      <c r="E15" s="59"/>
      <c r="F15" s="59"/>
      <c r="G15" s="59"/>
    </row>
  </sheetData>
  <mergeCells count="5">
    <mergeCell ref="B4:F4"/>
    <mergeCell ref="B5:F5"/>
    <mergeCell ref="B6:F6"/>
    <mergeCell ref="A7:G7"/>
    <mergeCell ref="B8:G8"/>
  </mergeCells>
  <printOptions horizontalCentered="1"/>
  <pageMargins left="0.25" right="0.25" top="0.5" bottom="0.5" header="0.3" footer="0.05"/>
  <pageSetup orientation="landscape" horizontalDpi="4294967292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A1:K14"/>
  <sheetViews>
    <sheetView view="pageBreakPreview" zoomScaleSheetLayoutView="100" workbookViewId="0">
      <selection activeCell="C2" sqref="C2"/>
    </sheetView>
  </sheetViews>
  <sheetFormatPr defaultColWidth="9.140625" defaultRowHeight="11.25" x14ac:dyDescent="0.15"/>
  <cols>
    <col min="1" max="1" width="5.85546875" style="4" bestFit="1" customWidth="1"/>
    <col min="2" max="2" width="12.5703125" style="4" customWidth="1"/>
    <col min="3" max="3" width="50.42578125" style="4" customWidth="1"/>
    <col min="4" max="4" width="5" style="4" bestFit="1" customWidth="1"/>
    <col min="5" max="5" width="6.28515625" style="4" bestFit="1" customWidth="1"/>
    <col min="6" max="6" width="11.5703125" style="4" bestFit="1" customWidth="1"/>
    <col min="7" max="7" width="16.5703125" style="4" bestFit="1" customWidth="1"/>
    <col min="8" max="8" width="9.140625" style="1"/>
    <col min="9" max="9" width="10.5703125" style="12" bestFit="1" customWidth="1"/>
    <col min="10" max="10" width="13.28515625" style="4" bestFit="1" customWidth="1"/>
    <col min="11" max="16384" width="9.140625" style="4"/>
  </cols>
  <sheetData>
    <row r="1" spans="1:11" ht="25.5" x14ac:dyDescent="0.15">
      <c r="A1" s="48" t="s">
        <v>0</v>
      </c>
      <c r="B1" s="49" t="s">
        <v>5</v>
      </c>
      <c r="C1" s="49" t="s">
        <v>2</v>
      </c>
      <c r="D1" s="49" t="s">
        <v>3</v>
      </c>
      <c r="E1" s="49" t="s">
        <v>13</v>
      </c>
      <c r="F1" s="50" t="s">
        <v>11</v>
      </c>
      <c r="G1" s="50" t="s">
        <v>12</v>
      </c>
      <c r="H1" s="40" t="s">
        <v>17</v>
      </c>
      <c r="I1" s="41" t="s">
        <v>110</v>
      </c>
      <c r="J1" s="42" t="s">
        <v>10</v>
      </c>
      <c r="K1" s="4" t="s">
        <v>107</v>
      </c>
    </row>
    <row r="2" spans="1:11" ht="80.45" customHeight="1" x14ac:dyDescent="0.15">
      <c r="A2" s="51">
        <v>1</v>
      </c>
      <c r="B2" s="51">
        <v>4000007392</v>
      </c>
      <c r="C2" s="53" t="s">
        <v>514</v>
      </c>
      <c r="D2" s="54" t="s">
        <v>109</v>
      </c>
      <c r="E2" s="51">
        <v>3</v>
      </c>
      <c r="F2" s="55">
        <f>88*1.33*H2</f>
        <v>128744</v>
      </c>
      <c r="G2" s="56">
        <f t="shared" ref="G2" si="0">F2*E2</f>
        <v>386232</v>
      </c>
      <c r="H2" s="43">
        <v>1100</v>
      </c>
      <c r="I2" s="44">
        <v>1100</v>
      </c>
      <c r="J2" s="45"/>
    </row>
    <row r="3" spans="1:11" ht="12.75" x14ac:dyDescent="0.15">
      <c r="A3" s="51">
        <v>3</v>
      </c>
      <c r="B3" s="337" t="s">
        <v>7</v>
      </c>
      <c r="C3" s="337"/>
      <c r="D3" s="337"/>
      <c r="E3" s="337"/>
      <c r="F3" s="337"/>
      <c r="G3" s="57">
        <f>SUM(G2:G2)</f>
        <v>386232</v>
      </c>
      <c r="H3" s="46"/>
      <c r="I3" s="46"/>
      <c r="J3" s="47"/>
    </row>
    <row r="4" spans="1:11" ht="12.75" x14ac:dyDescent="0.15">
      <c r="A4" s="51">
        <v>4</v>
      </c>
      <c r="B4" s="337" t="s">
        <v>112</v>
      </c>
      <c r="C4" s="337"/>
      <c r="D4" s="337"/>
      <c r="E4" s="337"/>
      <c r="F4" s="337"/>
      <c r="G4" s="57">
        <f>G3*18%</f>
        <v>69521.759999999995</v>
      </c>
    </row>
    <row r="5" spans="1:11" ht="12.75" x14ac:dyDescent="0.15">
      <c r="A5" s="51">
        <v>5</v>
      </c>
      <c r="B5" s="337" t="s">
        <v>8</v>
      </c>
      <c r="C5" s="337"/>
      <c r="D5" s="337"/>
      <c r="E5" s="337"/>
      <c r="F5" s="337"/>
      <c r="G5" s="57">
        <f>G4+G3</f>
        <v>455753.76</v>
      </c>
    </row>
    <row r="6" spans="1:11" ht="12.75" x14ac:dyDescent="0.15">
      <c r="A6" s="338"/>
      <c r="B6" s="339"/>
      <c r="C6" s="339"/>
      <c r="D6" s="339"/>
      <c r="E6" s="339"/>
      <c r="F6" s="339"/>
      <c r="G6" s="340"/>
    </row>
    <row r="7" spans="1:11" ht="146.25" customHeight="1" x14ac:dyDescent="0.15">
      <c r="A7" s="58" t="s">
        <v>9</v>
      </c>
      <c r="B7" s="335" t="s">
        <v>108</v>
      </c>
      <c r="C7" s="335"/>
      <c r="D7" s="335"/>
      <c r="E7" s="335"/>
      <c r="F7" s="335"/>
      <c r="G7" s="336"/>
    </row>
    <row r="8" spans="1:11" ht="12.75" x14ac:dyDescent="0.2">
      <c r="A8" s="59"/>
      <c r="B8" s="59"/>
      <c r="C8" s="59"/>
      <c r="D8" s="59"/>
      <c r="E8" s="59"/>
      <c r="F8" s="59"/>
      <c r="G8" s="59"/>
    </row>
    <row r="9" spans="1:11" ht="12.75" x14ac:dyDescent="0.2">
      <c r="A9" s="59"/>
      <c r="B9" s="59"/>
      <c r="C9" s="59"/>
      <c r="D9" s="59"/>
      <c r="E9" s="59"/>
      <c r="F9" s="59"/>
      <c r="G9" s="59"/>
    </row>
    <row r="10" spans="1:11" ht="12.75" x14ac:dyDescent="0.2">
      <c r="A10" s="59"/>
      <c r="B10" s="59"/>
      <c r="C10" s="59"/>
      <c r="D10" s="59"/>
      <c r="E10" s="59"/>
      <c r="F10" s="59"/>
      <c r="G10" s="59"/>
    </row>
    <row r="11" spans="1:11" ht="12.75" x14ac:dyDescent="0.2">
      <c r="A11" s="59"/>
      <c r="B11" s="59"/>
      <c r="C11" s="59"/>
      <c r="D11" s="59"/>
      <c r="E11" s="59"/>
      <c r="F11" s="59"/>
      <c r="G11" s="59"/>
    </row>
    <row r="12" spans="1:11" ht="12.75" x14ac:dyDescent="0.2">
      <c r="A12" s="59"/>
      <c r="B12" s="59"/>
      <c r="C12" s="59"/>
      <c r="D12" s="59"/>
      <c r="E12" s="59"/>
      <c r="F12" s="59"/>
      <c r="G12" s="59"/>
    </row>
    <row r="13" spans="1:11" ht="12.75" x14ac:dyDescent="0.2">
      <c r="A13" s="59"/>
      <c r="B13" s="59"/>
      <c r="C13" s="59"/>
      <c r="D13" s="59"/>
      <c r="E13" s="59"/>
      <c r="F13" s="59"/>
      <c r="G13" s="59"/>
    </row>
    <row r="14" spans="1:11" ht="12.75" x14ac:dyDescent="0.2">
      <c r="A14" s="59"/>
      <c r="B14" s="59"/>
      <c r="C14" s="59"/>
      <c r="D14" s="59"/>
      <c r="E14" s="59"/>
      <c r="F14" s="59"/>
      <c r="G14" s="59"/>
    </row>
  </sheetData>
  <mergeCells count="5">
    <mergeCell ref="B3:F3"/>
    <mergeCell ref="B4:F4"/>
    <mergeCell ref="B5:F5"/>
    <mergeCell ref="A6:G6"/>
    <mergeCell ref="B7:G7"/>
  </mergeCells>
  <printOptions horizontalCentered="1"/>
  <pageMargins left="0.25" right="0.25" top="0.5" bottom="0.5" header="0.3" footer="0.05"/>
  <pageSetup orientation="landscape" horizontalDpi="4294967292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A1:K15"/>
  <sheetViews>
    <sheetView view="pageBreakPreview" zoomScaleSheetLayoutView="100" workbookViewId="0">
      <selection activeCell="B3" sqref="B3"/>
    </sheetView>
  </sheetViews>
  <sheetFormatPr defaultColWidth="9.140625" defaultRowHeight="11.25" x14ac:dyDescent="0.15"/>
  <cols>
    <col min="1" max="1" width="5.85546875" style="4" bestFit="1" customWidth="1"/>
    <col min="2" max="2" width="12.5703125" style="4" customWidth="1"/>
    <col min="3" max="3" width="50.42578125" style="4" customWidth="1"/>
    <col min="4" max="4" width="5" style="4" bestFit="1" customWidth="1"/>
    <col min="5" max="5" width="6.28515625" style="4" bestFit="1" customWidth="1"/>
    <col min="6" max="6" width="11.5703125" style="4" bestFit="1" customWidth="1"/>
    <col min="7" max="7" width="16.5703125" style="4" bestFit="1" customWidth="1"/>
    <col min="8" max="8" width="9.140625" style="1"/>
    <col min="9" max="9" width="10.5703125" style="12" bestFit="1" customWidth="1"/>
    <col min="10" max="10" width="13.28515625" style="4" bestFit="1" customWidth="1"/>
    <col min="11" max="16384" width="9.140625" style="4"/>
  </cols>
  <sheetData>
    <row r="1" spans="1:11" ht="25.5" x14ac:dyDescent="0.15">
      <c r="A1" s="48" t="s">
        <v>0</v>
      </c>
      <c r="B1" s="49" t="s">
        <v>5</v>
      </c>
      <c r="C1" s="49" t="s">
        <v>2</v>
      </c>
      <c r="D1" s="49" t="s">
        <v>3</v>
      </c>
      <c r="E1" s="49" t="s">
        <v>13</v>
      </c>
      <c r="F1" s="50" t="s">
        <v>11</v>
      </c>
      <c r="G1" s="50" t="s">
        <v>12</v>
      </c>
      <c r="H1" s="40" t="s">
        <v>17</v>
      </c>
      <c r="I1" s="41" t="s">
        <v>14</v>
      </c>
      <c r="J1" s="42" t="s">
        <v>10</v>
      </c>
      <c r="K1" s="4" t="s">
        <v>107</v>
      </c>
    </row>
    <row r="2" spans="1:11" ht="25.5" x14ac:dyDescent="0.15">
      <c r="A2" s="51">
        <v>1</v>
      </c>
      <c r="B2" s="51">
        <v>3003000093</v>
      </c>
      <c r="C2" s="53" t="s">
        <v>515</v>
      </c>
      <c r="D2" s="54" t="s">
        <v>109</v>
      </c>
      <c r="E2" s="51">
        <v>9</v>
      </c>
      <c r="F2" s="55">
        <v>10640</v>
      </c>
      <c r="G2" s="56">
        <f t="shared" ref="G2:G3" si="0">F2*E2</f>
        <v>95760</v>
      </c>
      <c r="H2" s="43">
        <v>90</v>
      </c>
      <c r="I2" s="44">
        <v>83</v>
      </c>
      <c r="J2" s="45"/>
    </row>
    <row r="3" spans="1:11" ht="12.75" x14ac:dyDescent="0.15">
      <c r="A3" s="51">
        <v>2</v>
      </c>
      <c r="B3" s="51">
        <v>3000001137</v>
      </c>
      <c r="C3" s="53" t="s">
        <v>228</v>
      </c>
      <c r="D3" s="54" t="s">
        <v>109</v>
      </c>
      <c r="E3" s="51">
        <v>36</v>
      </c>
      <c r="F3" s="55">
        <v>9044</v>
      </c>
      <c r="G3" s="56">
        <f t="shared" si="0"/>
        <v>325584</v>
      </c>
      <c r="H3" s="43"/>
      <c r="I3" s="44">
        <v>60</v>
      </c>
      <c r="J3" s="45"/>
    </row>
    <row r="4" spans="1:11" ht="12.75" x14ac:dyDescent="0.15">
      <c r="A4" s="51">
        <v>3</v>
      </c>
      <c r="B4" s="337" t="s">
        <v>7</v>
      </c>
      <c r="C4" s="337"/>
      <c r="D4" s="337"/>
      <c r="E4" s="337"/>
      <c r="F4" s="337"/>
      <c r="G4" s="57">
        <f>SUM(G2:G3)</f>
        <v>421344</v>
      </c>
      <c r="H4" s="46"/>
      <c r="I4" s="46"/>
      <c r="J4" s="47"/>
    </row>
    <row r="5" spans="1:11" ht="12.75" x14ac:dyDescent="0.15">
      <c r="A5" s="51">
        <v>4</v>
      </c>
      <c r="B5" s="337" t="s">
        <v>397</v>
      </c>
      <c r="C5" s="337"/>
      <c r="D5" s="337"/>
      <c r="E5" s="337"/>
      <c r="F5" s="337"/>
      <c r="G5" s="57">
        <f>G4*18%</f>
        <v>75841.919999999998</v>
      </c>
    </row>
    <row r="6" spans="1:11" ht="12.75" x14ac:dyDescent="0.15">
      <c r="A6" s="51">
        <v>5</v>
      </c>
      <c r="B6" s="337" t="s">
        <v>8</v>
      </c>
      <c r="C6" s="337"/>
      <c r="D6" s="337"/>
      <c r="E6" s="337"/>
      <c r="F6" s="337"/>
      <c r="G6" s="57">
        <f>G5+G4</f>
        <v>497185.92</v>
      </c>
    </row>
    <row r="7" spans="1:11" ht="12.75" x14ac:dyDescent="0.15">
      <c r="A7" s="344"/>
      <c r="B7" s="345"/>
      <c r="C7" s="345"/>
      <c r="D7" s="345"/>
      <c r="E7" s="345"/>
      <c r="F7" s="345"/>
      <c r="G7" s="346"/>
    </row>
    <row r="8" spans="1:11" ht="140.25" x14ac:dyDescent="0.15">
      <c r="A8" s="58" t="s">
        <v>9</v>
      </c>
      <c r="B8" s="335" t="s">
        <v>108</v>
      </c>
      <c r="C8" s="335"/>
      <c r="D8" s="335"/>
      <c r="E8" s="335"/>
      <c r="F8" s="335"/>
      <c r="G8" s="336"/>
    </row>
    <row r="9" spans="1:11" ht="12.75" x14ac:dyDescent="0.2">
      <c r="A9" s="59"/>
      <c r="B9" s="59"/>
      <c r="C9" s="59"/>
      <c r="D9" s="59"/>
      <c r="E9" s="59"/>
      <c r="F9" s="59"/>
      <c r="G9" s="59"/>
    </row>
    <row r="10" spans="1:11" ht="12.75" x14ac:dyDescent="0.2">
      <c r="A10" s="59"/>
      <c r="B10" s="59"/>
      <c r="C10" s="59"/>
      <c r="D10" s="59"/>
      <c r="E10" s="59"/>
      <c r="F10" s="59"/>
      <c r="G10" s="59"/>
    </row>
    <row r="11" spans="1:11" ht="12.75" x14ac:dyDescent="0.2">
      <c r="A11" s="59"/>
      <c r="B11" s="59"/>
      <c r="C11" s="59"/>
      <c r="D11" s="59"/>
      <c r="E11" s="59"/>
      <c r="F11" s="59"/>
      <c r="G11" s="59"/>
    </row>
    <row r="12" spans="1:11" ht="12.75" x14ac:dyDescent="0.2">
      <c r="A12" s="59"/>
      <c r="B12" s="59"/>
      <c r="C12" s="59"/>
      <c r="D12" s="59"/>
      <c r="E12" s="59"/>
      <c r="F12" s="59"/>
      <c r="G12" s="59"/>
    </row>
    <row r="13" spans="1:11" ht="12.75" x14ac:dyDescent="0.2">
      <c r="A13" s="59"/>
      <c r="B13" s="59"/>
      <c r="C13" s="59"/>
      <c r="D13" s="59"/>
      <c r="E13" s="59"/>
      <c r="F13" s="59"/>
      <c r="G13" s="59"/>
    </row>
    <row r="14" spans="1:11" ht="12.75" x14ac:dyDescent="0.2">
      <c r="A14" s="59"/>
      <c r="B14" s="59"/>
      <c r="C14" s="59"/>
      <c r="D14" s="59"/>
      <c r="E14" s="59"/>
      <c r="F14" s="59"/>
      <c r="G14" s="59"/>
    </row>
    <row r="15" spans="1:11" s="1" customFormat="1" ht="12.75" x14ac:dyDescent="0.2">
      <c r="A15" s="59"/>
      <c r="B15" s="59"/>
      <c r="C15" s="59"/>
      <c r="D15" s="59"/>
      <c r="E15" s="59"/>
      <c r="F15" s="59"/>
      <c r="G15" s="59"/>
      <c r="I15" s="12"/>
      <c r="J15" s="4"/>
      <c r="K15" s="4"/>
    </row>
  </sheetData>
  <mergeCells count="5">
    <mergeCell ref="B4:F4"/>
    <mergeCell ref="B5:F5"/>
    <mergeCell ref="B6:F6"/>
    <mergeCell ref="A7:G7"/>
    <mergeCell ref="B8:G8"/>
  </mergeCells>
  <printOptions horizontalCentered="1"/>
  <pageMargins left="0.25" right="0.25" top="0.5" bottom="0.5" header="0.3" footer="0.05"/>
  <pageSetup orientation="landscape" horizontalDpi="4294967292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A1:K14"/>
  <sheetViews>
    <sheetView view="pageBreakPreview" zoomScaleSheetLayoutView="100" workbookViewId="0">
      <selection activeCell="B7" sqref="B7:G7"/>
    </sheetView>
  </sheetViews>
  <sheetFormatPr defaultColWidth="9.140625" defaultRowHeight="11.25" x14ac:dyDescent="0.15"/>
  <cols>
    <col min="1" max="1" width="5.85546875" style="4" bestFit="1" customWidth="1"/>
    <col min="2" max="2" width="12.5703125" style="4" customWidth="1"/>
    <col min="3" max="3" width="50.42578125" style="4" customWidth="1"/>
    <col min="4" max="4" width="5" style="4" bestFit="1" customWidth="1"/>
    <col min="5" max="5" width="6.28515625" style="4" bestFit="1" customWidth="1"/>
    <col min="6" max="6" width="11.5703125" style="4" bestFit="1" customWidth="1"/>
    <col min="7" max="7" width="16.5703125" style="4" bestFit="1" customWidth="1"/>
    <col min="8" max="8" width="9.140625" style="1"/>
    <col min="9" max="9" width="10.5703125" style="12" bestFit="1" customWidth="1"/>
    <col min="10" max="10" width="13.28515625" style="4" bestFit="1" customWidth="1"/>
    <col min="11" max="16384" width="9.140625" style="4"/>
  </cols>
  <sheetData>
    <row r="1" spans="1:11" ht="25.5" x14ac:dyDescent="0.15">
      <c r="A1" s="48" t="s">
        <v>0</v>
      </c>
      <c r="B1" s="49" t="s">
        <v>5</v>
      </c>
      <c r="C1" s="49" t="s">
        <v>2</v>
      </c>
      <c r="D1" s="49" t="s">
        <v>3</v>
      </c>
      <c r="E1" s="49" t="s">
        <v>13</v>
      </c>
      <c r="F1" s="50" t="s">
        <v>11</v>
      </c>
      <c r="G1" s="50" t="s">
        <v>12</v>
      </c>
      <c r="H1" s="40" t="s">
        <v>17</v>
      </c>
      <c r="I1" s="41" t="s">
        <v>10</v>
      </c>
      <c r="J1" s="42" t="s">
        <v>14</v>
      </c>
      <c r="K1" s="4" t="s">
        <v>110</v>
      </c>
    </row>
    <row r="2" spans="1:11" ht="76.5" x14ac:dyDescent="0.15">
      <c r="A2" s="51">
        <v>1</v>
      </c>
      <c r="B2" s="51" t="s">
        <v>269</v>
      </c>
      <c r="C2" s="53" t="s">
        <v>517</v>
      </c>
      <c r="D2" s="54" t="s">
        <v>109</v>
      </c>
      <c r="E2" s="51">
        <v>4</v>
      </c>
      <c r="F2" s="55">
        <f>H2*88*1.3</f>
        <v>51480</v>
      </c>
      <c r="G2" s="56">
        <f t="shared" ref="G2" si="0">F2*E2</f>
        <v>205920</v>
      </c>
      <c r="H2" s="43">
        <v>450</v>
      </c>
      <c r="I2" s="44">
        <v>652</v>
      </c>
      <c r="J2" s="45">
        <f>3500/7</f>
        <v>500</v>
      </c>
      <c r="K2" s="4" t="s">
        <v>518</v>
      </c>
    </row>
    <row r="3" spans="1:11" ht="12.75" x14ac:dyDescent="0.15">
      <c r="A3" s="51">
        <v>2</v>
      </c>
      <c r="B3" s="337" t="s">
        <v>7</v>
      </c>
      <c r="C3" s="337"/>
      <c r="D3" s="337"/>
      <c r="E3" s="337"/>
      <c r="F3" s="337"/>
      <c r="G3" s="57">
        <f>SUM(G2:G2)</f>
        <v>205920</v>
      </c>
      <c r="H3" s="46"/>
      <c r="I3" s="46"/>
      <c r="J3" s="47"/>
    </row>
    <row r="4" spans="1:11" ht="12.75" x14ac:dyDescent="0.15">
      <c r="A4" s="51">
        <v>3</v>
      </c>
      <c r="B4" s="337" t="s">
        <v>397</v>
      </c>
      <c r="C4" s="337"/>
      <c r="D4" s="337"/>
      <c r="E4" s="337"/>
      <c r="F4" s="337"/>
      <c r="G4" s="57">
        <f>G3*18%</f>
        <v>37065.599999999999</v>
      </c>
    </row>
    <row r="5" spans="1:11" ht="12.75" x14ac:dyDescent="0.15">
      <c r="A5" s="51">
        <v>4</v>
      </c>
      <c r="B5" s="337" t="s">
        <v>8</v>
      </c>
      <c r="C5" s="337"/>
      <c r="D5" s="337"/>
      <c r="E5" s="337"/>
      <c r="F5" s="337"/>
      <c r="G5" s="57">
        <f>G4+G3</f>
        <v>242985.60000000001</v>
      </c>
    </row>
    <row r="6" spans="1:11" ht="12.75" x14ac:dyDescent="0.15">
      <c r="A6" s="344"/>
      <c r="B6" s="345"/>
      <c r="C6" s="345"/>
      <c r="D6" s="345"/>
      <c r="E6" s="345"/>
      <c r="F6" s="345"/>
      <c r="G6" s="346"/>
    </row>
    <row r="7" spans="1:11" ht="140.25" x14ac:dyDescent="0.15">
      <c r="A7" s="58" t="s">
        <v>9</v>
      </c>
      <c r="B7" s="335" t="s">
        <v>108</v>
      </c>
      <c r="C7" s="335"/>
      <c r="D7" s="335"/>
      <c r="E7" s="335"/>
      <c r="F7" s="335"/>
      <c r="G7" s="336"/>
    </row>
    <row r="8" spans="1:11" ht="12.75" x14ac:dyDescent="0.2">
      <c r="A8" s="59"/>
      <c r="B8" s="59"/>
      <c r="C8" s="59"/>
      <c r="D8" s="59"/>
      <c r="E8" s="59"/>
      <c r="F8" s="59"/>
      <c r="G8" s="59"/>
    </row>
    <row r="9" spans="1:11" ht="12.75" x14ac:dyDescent="0.2">
      <c r="A9" s="59"/>
      <c r="B9" s="59"/>
      <c r="C9" s="59"/>
      <c r="D9" s="59"/>
      <c r="E9" s="59"/>
      <c r="F9" s="59"/>
      <c r="G9" s="59"/>
    </row>
    <row r="10" spans="1:11" ht="12.75" x14ac:dyDescent="0.2">
      <c r="A10" s="59"/>
      <c r="B10" s="59"/>
      <c r="C10" s="59"/>
      <c r="D10" s="59"/>
      <c r="E10" s="59"/>
      <c r="F10" s="59"/>
      <c r="G10" s="59"/>
    </row>
    <row r="11" spans="1:11" ht="12.75" x14ac:dyDescent="0.2">
      <c r="A11" s="59"/>
      <c r="B11" s="59"/>
      <c r="C11" s="59"/>
      <c r="D11" s="59"/>
      <c r="E11" s="59"/>
      <c r="F11" s="59"/>
      <c r="G11" s="59"/>
    </row>
    <row r="12" spans="1:11" ht="12.75" x14ac:dyDescent="0.2">
      <c r="A12" s="59"/>
      <c r="B12" s="59"/>
      <c r="C12" s="59"/>
      <c r="D12" s="59"/>
      <c r="E12" s="59"/>
      <c r="F12" s="59"/>
      <c r="G12" s="59"/>
    </row>
    <row r="13" spans="1:11" ht="12.75" x14ac:dyDescent="0.2">
      <c r="A13" s="59"/>
      <c r="B13" s="59"/>
      <c r="C13" s="59"/>
      <c r="D13" s="59"/>
      <c r="E13" s="59"/>
      <c r="F13" s="59"/>
      <c r="G13" s="59"/>
    </row>
    <row r="14" spans="1:11" s="1" customFormat="1" ht="12.75" x14ac:dyDescent="0.2">
      <c r="A14" s="59"/>
      <c r="B14" s="59"/>
      <c r="C14" s="59"/>
      <c r="D14" s="59"/>
      <c r="E14" s="59"/>
      <c r="F14" s="59"/>
      <c r="G14" s="59"/>
      <c r="I14" s="12"/>
      <c r="J14" s="4"/>
      <c r="K14" s="4"/>
    </row>
  </sheetData>
  <mergeCells count="5">
    <mergeCell ref="B3:F3"/>
    <mergeCell ref="B4:F4"/>
    <mergeCell ref="B5:F5"/>
    <mergeCell ref="A6:G6"/>
    <mergeCell ref="B7:G7"/>
  </mergeCells>
  <printOptions horizontalCentered="1"/>
  <pageMargins left="0.25" right="0.25" top="0.5" bottom="0.5" header="0.3" footer="0.05"/>
  <pageSetup orientation="landscape" horizontalDpi="4294967292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A1:K14"/>
  <sheetViews>
    <sheetView view="pageBreakPreview" zoomScaleSheetLayoutView="100" workbookViewId="0"/>
  </sheetViews>
  <sheetFormatPr defaultColWidth="9.140625" defaultRowHeight="11.25" x14ac:dyDescent="0.15"/>
  <cols>
    <col min="1" max="1" width="5.85546875" style="4" bestFit="1" customWidth="1"/>
    <col min="2" max="2" width="12.5703125" style="4" customWidth="1"/>
    <col min="3" max="3" width="50.42578125" style="4" customWidth="1"/>
    <col min="4" max="4" width="5" style="4" bestFit="1" customWidth="1"/>
    <col min="5" max="5" width="6.28515625" style="4" bestFit="1" customWidth="1"/>
    <col min="6" max="6" width="11.5703125" style="4" bestFit="1" customWidth="1"/>
    <col min="7" max="7" width="16.5703125" style="4" bestFit="1" customWidth="1"/>
    <col min="8" max="8" width="9.140625" style="1"/>
    <col min="9" max="9" width="10.5703125" style="12" bestFit="1" customWidth="1"/>
    <col min="10" max="10" width="13.28515625" style="4" bestFit="1" customWidth="1"/>
    <col min="11" max="16384" width="9.140625" style="4"/>
  </cols>
  <sheetData>
    <row r="1" spans="1:11" ht="25.5" x14ac:dyDescent="0.15">
      <c r="A1" s="48" t="s">
        <v>0</v>
      </c>
      <c r="B1" s="49" t="s">
        <v>5</v>
      </c>
      <c r="C1" s="49" t="s">
        <v>2</v>
      </c>
      <c r="D1" s="49" t="s">
        <v>3</v>
      </c>
      <c r="E1" s="49" t="s">
        <v>13</v>
      </c>
      <c r="F1" s="50" t="s">
        <v>11</v>
      </c>
      <c r="G1" s="50" t="s">
        <v>12</v>
      </c>
      <c r="H1" s="40" t="s">
        <v>17</v>
      </c>
      <c r="I1" s="41" t="s">
        <v>10</v>
      </c>
      <c r="J1" s="42" t="s">
        <v>14</v>
      </c>
      <c r="K1" s="4" t="s">
        <v>110</v>
      </c>
    </row>
    <row r="2" spans="1:11" ht="191.25" x14ac:dyDescent="0.15">
      <c r="A2" s="51">
        <v>1</v>
      </c>
      <c r="B2" s="51" t="s">
        <v>269</v>
      </c>
      <c r="C2" s="53" t="s">
        <v>519</v>
      </c>
      <c r="D2" s="54" t="s">
        <v>105</v>
      </c>
      <c r="E2" s="51">
        <v>1</v>
      </c>
      <c r="F2" s="55">
        <f>H2*88*1.3</f>
        <v>1112540</v>
      </c>
      <c r="G2" s="56">
        <f t="shared" ref="G2" si="0">F2*E2</f>
        <v>1112540</v>
      </c>
      <c r="H2" s="43">
        <v>9725</v>
      </c>
      <c r="I2" s="44">
        <v>9725</v>
      </c>
      <c r="J2" s="45"/>
      <c r="K2" s="1"/>
    </row>
    <row r="3" spans="1:11" ht="12.75" x14ac:dyDescent="0.15">
      <c r="A3" s="51">
        <v>2</v>
      </c>
      <c r="B3" s="337" t="s">
        <v>7</v>
      </c>
      <c r="C3" s="337"/>
      <c r="D3" s="337"/>
      <c r="E3" s="337"/>
      <c r="F3" s="337"/>
      <c r="G3" s="57">
        <f>SUM(G2:G2)</f>
        <v>1112540</v>
      </c>
      <c r="H3" s="46"/>
      <c r="I3" s="46"/>
      <c r="J3" s="47"/>
    </row>
    <row r="4" spans="1:11" ht="12.75" x14ac:dyDescent="0.15">
      <c r="A4" s="51">
        <v>3</v>
      </c>
      <c r="B4" s="337" t="s">
        <v>520</v>
      </c>
      <c r="C4" s="337"/>
      <c r="D4" s="337"/>
      <c r="E4" s="337"/>
      <c r="F4" s="337"/>
      <c r="G4" s="57">
        <f>G3*18%</f>
        <v>200257.19999999998</v>
      </c>
    </row>
    <row r="5" spans="1:11" ht="12.75" x14ac:dyDescent="0.15">
      <c r="A5" s="51">
        <v>4</v>
      </c>
      <c r="B5" s="337" t="s">
        <v>8</v>
      </c>
      <c r="C5" s="337"/>
      <c r="D5" s="337"/>
      <c r="E5" s="337"/>
      <c r="F5" s="337"/>
      <c r="G5" s="57">
        <f>G4+G3</f>
        <v>1312797.2</v>
      </c>
    </row>
    <row r="6" spans="1:11" ht="12.75" x14ac:dyDescent="0.15">
      <c r="A6" s="344"/>
      <c r="B6" s="345"/>
      <c r="C6" s="345"/>
      <c r="D6" s="345"/>
      <c r="E6" s="345"/>
      <c r="F6" s="345"/>
      <c r="G6" s="346"/>
    </row>
    <row r="7" spans="1:11" ht="140.25" x14ac:dyDescent="0.15">
      <c r="A7" s="58" t="s">
        <v>9</v>
      </c>
      <c r="B7" s="335" t="s">
        <v>108</v>
      </c>
      <c r="C7" s="335"/>
      <c r="D7" s="335"/>
      <c r="E7" s="335"/>
      <c r="F7" s="335"/>
      <c r="G7" s="336"/>
    </row>
    <row r="8" spans="1:11" ht="12.75" x14ac:dyDescent="0.2">
      <c r="A8" s="59"/>
      <c r="B8" s="59"/>
      <c r="C8" s="59"/>
      <c r="D8" s="59"/>
      <c r="E8" s="59"/>
      <c r="F8" s="59"/>
      <c r="G8" s="59"/>
    </row>
    <row r="9" spans="1:11" ht="12.75" x14ac:dyDescent="0.2">
      <c r="A9" s="59"/>
      <c r="B9" s="59"/>
      <c r="C9" s="59"/>
      <c r="D9" s="59"/>
      <c r="E9" s="59"/>
      <c r="F9" s="59"/>
      <c r="G9" s="59"/>
    </row>
    <row r="10" spans="1:11" ht="12.75" x14ac:dyDescent="0.2">
      <c r="A10" s="59"/>
      <c r="B10" s="59"/>
      <c r="C10" s="59"/>
      <c r="D10" s="59"/>
      <c r="E10" s="59"/>
      <c r="F10" s="59"/>
      <c r="G10" s="59"/>
    </row>
    <row r="11" spans="1:11" ht="12.75" x14ac:dyDescent="0.2">
      <c r="A11" s="59"/>
      <c r="B11" s="59"/>
      <c r="C11" s="59"/>
      <c r="D11" s="59"/>
      <c r="E11" s="59"/>
      <c r="F11" s="59"/>
      <c r="G11" s="59"/>
    </row>
    <row r="12" spans="1:11" ht="12.75" x14ac:dyDescent="0.2">
      <c r="A12" s="59"/>
      <c r="B12" s="59"/>
      <c r="C12" s="59"/>
      <c r="D12" s="59"/>
      <c r="E12" s="59"/>
      <c r="F12" s="59"/>
      <c r="G12" s="59"/>
    </row>
    <row r="13" spans="1:11" ht="12.75" x14ac:dyDescent="0.2">
      <c r="A13" s="59"/>
      <c r="B13" s="59"/>
      <c r="C13" s="59"/>
      <c r="D13" s="59"/>
      <c r="E13" s="59"/>
      <c r="F13" s="59"/>
      <c r="G13" s="59"/>
    </row>
    <row r="14" spans="1:11" s="1" customFormat="1" ht="12.75" x14ac:dyDescent="0.2">
      <c r="A14" s="59"/>
      <c r="B14" s="59"/>
      <c r="C14" s="59"/>
      <c r="D14" s="59"/>
      <c r="E14" s="59"/>
      <c r="F14" s="59"/>
      <c r="G14" s="59"/>
      <c r="I14" s="12"/>
      <c r="J14" s="4"/>
      <c r="K14" s="4"/>
    </row>
  </sheetData>
  <mergeCells count="5">
    <mergeCell ref="B3:F3"/>
    <mergeCell ref="B4:F4"/>
    <mergeCell ref="B5:F5"/>
    <mergeCell ref="A6:G6"/>
    <mergeCell ref="B7:G7"/>
  </mergeCells>
  <printOptions horizontalCentered="1"/>
  <pageMargins left="0.25" right="0.25" top="0.5" bottom="0.5" header="0.3" footer="0.05"/>
  <pageSetup orientation="landscape" horizontalDpi="4294967292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A1:K16"/>
  <sheetViews>
    <sheetView view="pageBreakPreview" zoomScaleSheetLayoutView="100" workbookViewId="0">
      <selection activeCell="P6" sqref="P6"/>
    </sheetView>
  </sheetViews>
  <sheetFormatPr defaultColWidth="9.140625" defaultRowHeight="11.25" x14ac:dyDescent="0.15"/>
  <cols>
    <col min="1" max="1" width="5.85546875" style="4" bestFit="1" customWidth="1"/>
    <col min="2" max="2" width="12.5703125" style="4" customWidth="1"/>
    <col min="3" max="3" width="50.42578125" style="4" customWidth="1"/>
    <col min="4" max="4" width="5" style="4" bestFit="1" customWidth="1"/>
    <col min="5" max="5" width="6.28515625" style="4" bestFit="1" customWidth="1"/>
    <col min="6" max="6" width="11.5703125" style="4" bestFit="1" customWidth="1"/>
    <col min="7" max="7" width="16.5703125" style="4" bestFit="1" customWidth="1"/>
    <col min="8" max="8" width="9.140625" style="1"/>
    <col min="9" max="9" width="10.5703125" style="12" bestFit="1" customWidth="1"/>
    <col min="10" max="10" width="13.28515625" style="4" bestFit="1" customWidth="1"/>
    <col min="11" max="16384" width="9.140625" style="4"/>
  </cols>
  <sheetData>
    <row r="1" spans="1:11" ht="25.5" x14ac:dyDescent="0.15">
      <c r="A1" s="48" t="s">
        <v>0</v>
      </c>
      <c r="B1" s="49" t="s">
        <v>5</v>
      </c>
      <c r="C1" s="49" t="s">
        <v>2</v>
      </c>
      <c r="D1" s="49" t="s">
        <v>3</v>
      </c>
      <c r="E1" s="49" t="s">
        <v>13</v>
      </c>
      <c r="F1" s="50" t="s">
        <v>11</v>
      </c>
      <c r="G1" s="50" t="s">
        <v>12</v>
      </c>
      <c r="H1" s="40" t="s">
        <v>17</v>
      </c>
      <c r="I1" s="41" t="s">
        <v>10</v>
      </c>
      <c r="J1" s="42" t="s">
        <v>14</v>
      </c>
      <c r="K1" s="4" t="s">
        <v>110</v>
      </c>
    </row>
    <row r="2" spans="1:11" ht="76.5" x14ac:dyDescent="0.15">
      <c r="A2" s="51">
        <v>1</v>
      </c>
      <c r="B2" s="51">
        <v>4000006395</v>
      </c>
      <c r="C2" s="53" t="s">
        <v>526</v>
      </c>
      <c r="D2" s="54" t="s">
        <v>105</v>
      </c>
      <c r="E2" s="51">
        <v>1</v>
      </c>
      <c r="F2" s="55">
        <f t="shared" ref="F2:F3" si="0">H2*88*1.3</f>
        <v>274560</v>
      </c>
      <c r="G2" s="56">
        <f t="shared" ref="G2" si="1">F2*E2</f>
        <v>274560</v>
      </c>
      <c r="H2" s="43">
        <v>2400</v>
      </c>
      <c r="I2" s="44">
        <v>2400</v>
      </c>
      <c r="J2" s="45"/>
    </row>
    <row r="3" spans="1:11" ht="12.75" x14ac:dyDescent="0.15">
      <c r="A3" s="51" t="s">
        <v>522</v>
      </c>
      <c r="B3" s="51"/>
      <c r="C3" s="53" t="s">
        <v>524</v>
      </c>
      <c r="D3" s="54" t="s">
        <v>109</v>
      </c>
      <c r="E3" s="51">
        <v>2</v>
      </c>
      <c r="F3" s="55">
        <f t="shared" si="0"/>
        <v>34320</v>
      </c>
      <c r="G3" s="56"/>
      <c r="H3" s="43">
        <v>300</v>
      </c>
      <c r="I3" s="44">
        <v>289</v>
      </c>
      <c r="J3" s="45"/>
    </row>
    <row r="4" spans="1:11" ht="12.75" x14ac:dyDescent="0.15">
      <c r="A4" s="51" t="s">
        <v>523</v>
      </c>
      <c r="B4" s="51"/>
      <c r="C4" s="53" t="s">
        <v>525</v>
      </c>
      <c r="D4" s="54" t="s">
        <v>109</v>
      </c>
      <c r="E4" s="51">
        <v>1</v>
      </c>
      <c r="F4" s="55">
        <f>H4*88*1.3</f>
        <v>34320</v>
      </c>
      <c r="G4" s="56"/>
      <c r="H4" s="43">
        <v>300</v>
      </c>
      <c r="I4" s="44">
        <v>289</v>
      </c>
      <c r="J4" s="45"/>
    </row>
    <row r="5" spans="1:11" ht="12.75" x14ac:dyDescent="0.15">
      <c r="A5" s="51">
        <v>2</v>
      </c>
      <c r="B5" s="337" t="s">
        <v>7</v>
      </c>
      <c r="C5" s="337"/>
      <c r="D5" s="337"/>
      <c r="E5" s="337"/>
      <c r="F5" s="337"/>
      <c r="G5" s="57">
        <f>G2</f>
        <v>274560</v>
      </c>
      <c r="H5" s="46"/>
      <c r="I5" s="46"/>
      <c r="J5" s="47"/>
    </row>
    <row r="6" spans="1:11" ht="12.75" x14ac:dyDescent="0.15">
      <c r="A6" s="51">
        <v>3</v>
      </c>
      <c r="B6" s="337" t="s">
        <v>397</v>
      </c>
      <c r="C6" s="337"/>
      <c r="D6" s="337"/>
      <c r="E6" s="337"/>
      <c r="F6" s="337"/>
      <c r="G6" s="57">
        <f>G5*18%</f>
        <v>49420.799999999996</v>
      </c>
    </row>
    <row r="7" spans="1:11" ht="12.75" x14ac:dyDescent="0.15">
      <c r="A7" s="51">
        <v>4</v>
      </c>
      <c r="B7" s="337" t="s">
        <v>8</v>
      </c>
      <c r="C7" s="337"/>
      <c r="D7" s="337"/>
      <c r="E7" s="337"/>
      <c r="F7" s="337"/>
      <c r="G7" s="57">
        <f>G6+G5</f>
        <v>323980.79999999999</v>
      </c>
    </row>
    <row r="8" spans="1:11" ht="12.75" x14ac:dyDescent="0.15">
      <c r="A8" s="344" t="s">
        <v>527</v>
      </c>
      <c r="B8" s="345"/>
      <c r="C8" s="345"/>
      <c r="D8" s="345"/>
      <c r="E8" s="345"/>
      <c r="F8" s="345"/>
      <c r="G8" s="346"/>
    </row>
    <row r="9" spans="1:11" ht="140.25" x14ac:dyDescent="0.15">
      <c r="A9" s="58" t="s">
        <v>9</v>
      </c>
      <c r="B9" s="335" t="s">
        <v>108</v>
      </c>
      <c r="C9" s="335"/>
      <c r="D9" s="335"/>
      <c r="E9" s="335"/>
      <c r="F9" s="335"/>
      <c r="G9" s="336"/>
    </row>
    <row r="10" spans="1:11" ht="12.75" x14ac:dyDescent="0.2">
      <c r="A10" s="59"/>
      <c r="B10" s="59"/>
      <c r="C10" s="59"/>
      <c r="D10" s="59"/>
      <c r="E10" s="59"/>
      <c r="F10" s="59"/>
      <c r="G10" s="59"/>
    </row>
    <row r="11" spans="1:11" ht="12.75" x14ac:dyDescent="0.2">
      <c r="A11" s="59"/>
      <c r="B11" s="59"/>
      <c r="C11" s="59"/>
      <c r="D11" s="59"/>
      <c r="E11" s="59"/>
      <c r="F11" s="59"/>
      <c r="G11" s="59"/>
    </row>
    <row r="12" spans="1:11" ht="12.75" x14ac:dyDescent="0.2">
      <c r="A12" s="59"/>
      <c r="B12" s="59"/>
      <c r="C12" s="59"/>
      <c r="D12" s="59"/>
      <c r="E12" s="59"/>
      <c r="F12" s="59"/>
      <c r="G12" s="59"/>
    </row>
    <row r="13" spans="1:11" ht="12.75" x14ac:dyDescent="0.2">
      <c r="A13" s="59"/>
      <c r="B13" s="59"/>
      <c r="C13" s="59"/>
      <c r="D13" s="59"/>
      <c r="E13" s="59"/>
      <c r="F13" s="59"/>
      <c r="G13" s="59"/>
    </row>
    <row r="14" spans="1:11" ht="12.75" x14ac:dyDescent="0.2">
      <c r="A14" s="59"/>
      <c r="B14" s="59"/>
      <c r="C14" s="59"/>
      <c r="D14" s="59"/>
      <c r="E14" s="59"/>
      <c r="F14" s="59"/>
      <c r="G14" s="59"/>
    </row>
    <row r="15" spans="1:11" ht="12.75" x14ac:dyDescent="0.2">
      <c r="A15" s="59"/>
      <c r="B15" s="59"/>
      <c r="C15" s="59"/>
      <c r="D15" s="59"/>
      <c r="E15" s="59"/>
      <c r="F15" s="59"/>
      <c r="G15" s="59"/>
    </row>
    <row r="16" spans="1:11" s="1" customFormat="1" ht="12.75" x14ac:dyDescent="0.2">
      <c r="A16" s="59"/>
      <c r="B16" s="59"/>
      <c r="C16" s="59"/>
      <c r="D16" s="59"/>
      <c r="E16" s="59"/>
      <c r="F16" s="59"/>
      <c r="G16" s="59"/>
      <c r="I16" s="12"/>
      <c r="J16" s="4"/>
      <c r="K16" s="4"/>
    </row>
  </sheetData>
  <mergeCells count="5">
    <mergeCell ref="B5:F5"/>
    <mergeCell ref="B6:F6"/>
    <mergeCell ref="B7:F7"/>
    <mergeCell ref="A8:G8"/>
    <mergeCell ref="B9:G9"/>
  </mergeCells>
  <printOptions horizontalCentered="1"/>
  <pageMargins left="0.25" right="0.25" top="0.5" bottom="0.5" header="0.3" footer="0.05"/>
  <pageSetup orientation="landscape" horizontalDpi="4294967292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A1:K14"/>
  <sheetViews>
    <sheetView view="pageBreakPreview" zoomScaleSheetLayoutView="100" workbookViewId="0">
      <selection activeCell="L15" sqref="L15"/>
    </sheetView>
  </sheetViews>
  <sheetFormatPr defaultColWidth="9.140625" defaultRowHeight="11.25" x14ac:dyDescent="0.15"/>
  <cols>
    <col min="1" max="1" width="5.85546875" style="4" bestFit="1" customWidth="1"/>
    <col min="2" max="2" width="12.5703125" style="4" customWidth="1"/>
    <col min="3" max="3" width="50.42578125" style="4" customWidth="1"/>
    <col min="4" max="4" width="5" style="4" bestFit="1" customWidth="1"/>
    <col min="5" max="5" width="6.28515625" style="4" bestFit="1" customWidth="1"/>
    <col min="6" max="6" width="11.5703125" style="4" bestFit="1" customWidth="1"/>
    <col min="7" max="7" width="16.5703125" style="4" bestFit="1" customWidth="1"/>
    <col min="8" max="8" width="9.140625" style="1"/>
    <col min="9" max="9" width="10.5703125" style="12" bestFit="1" customWidth="1"/>
    <col min="10" max="10" width="13.28515625" style="4" bestFit="1" customWidth="1"/>
    <col min="11" max="16384" width="9.140625" style="4"/>
  </cols>
  <sheetData>
    <row r="1" spans="1:11" ht="25.5" x14ac:dyDescent="0.15">
      <c r="A1" s="48" t="s">
        <v>0</v>
      </c>
      <c r="B1" s="49" t="s">
        <v>5</v>
      </c>
      <c r="C1" s="49" t="s">
        <v>2</v>
      </c>
      <c r="D1" s="49" t="s">
        <v>3</v>
      </c>
      <c r="E1" s="49" t="s">
        <v>13</v>
      </c>
      <c r="F1" s="50" t="s">
        <v>11</v>
      </c>
      <c r="G1" s="50" t="s">
        <v>12</v>
      </c>
      <c r="H1" s="40" t="s">
        <v>17</v>
      </c>
      <c r="I1" s="41" t="s">
        <v>10</v>
      </c>
      <c r="J1" s="42" t="s">
        <v>529</v>
      </c>
      <c r="K1" s="4" t="s">
        <v>110</v>
      </c>
    </row>
    <row r="2" spans="1:11" ht="38.25" x14ac:dyDescent="0.15">
      <c r="A2" s="51">
        <v>1</v>
      </c>
      <c r="B2" s="51">
        <v>4000013103</v>
      </c>
      <c r="C2" s="53" t="s">
        <v>528</v>
      </c>
      <c r="D2" s="54" t="s">
        <v>109</v>
      </c>
      <c r="E2" s="51">
        <v>1</v>
      </c>
      <c r="F2" s="55">
        <f t="shared" ref="F2" si="0">H2*88*1.3</f>
        <v>109824</v>
      </c>
      <c r="G2" s="56">
        <f t="shared" ref="G2" si="1">F2*E2</f>
        <v>109824</v>
      </c>
      <c r="H2" s="43">
        <v>960</v>
      </c>
      <c r="I2" s="44">
        <v>960</v>
      </c>
      <c r="J2" s="45">
        <v>1090</v>
      </c>
    </row>
    <row r="3" spans="1:11" ht="12.75" x14ac:dyDescent="0.15">
      <c r="A3" s="51">
        <v>2</v>
      </c>
      <c r="B3" s="337" t="s">
        <v>7</v>
      </c>
      <c r="C3" s="337"/>
      <c r="D3" s="337"/>
      <c r="E3" s="337"/>
      <c r="F3" s="337"/>
      <c r="G3" s="57">
        <f>G2</f>
        <v>109824</v>
      </c>
      <c r="H3" s="46"/>
      <c r="I3" s="46"/>
      <c r="J3" s="47"/>
    </row>
    <row r="4" spans="1:11" ht="12.75" x14ac:dyDescent="0.15">
      <c r="A4" s="51">
        <v>3</v>
      </c>
      <c r="B4" s="337" t="s">
        <v>15</v>
      </c>
      <c r="C4" s="337"/>
      <c r="D4" s="337"/>
      <c r="E4" s="337"/>
      <c r="F4" s="337"/>
      <c r="G4" s="57">
        <f>G3*18%</f>
        <v>19768.32</v>
      </c>
    </row>
    <row r="5" spans="1:11" ht="12.75" x14ac:dyDescent="0.15">
      <c r="A5" s="51">
        <v>4</v>
      </c>
      <c r="B5" s="337" t="s">
        <v>8</v>
      </c>
      <c r="C5" s="337"/>
      <c r="D5" s="337"/>
      <c r="E5" s="337"/>
      <c r="F5" s="337"/>
      <c r="G5" s="57">
        <f>G4+G3</f>
        <v>129592.32000000001</v>
      </c>
    </row>
    <row r="6" spans="1:11" ht="12.75" x14ac:dyDescent="0.15">
      <c r="A6" s="344"/>
      <c r="B6" s="345"/>
      <c r="C6" s="345"/>
      <c r="D6" s="345"/>
      <c r="E6" s="345"/>
      <c r="F6" s="345"/>
      <c r="G6" s="346"/>
    </row>
    <row r="7" spans="1:11" ht="140.25" x14ac:dyDescent="0.15">
      <c r="A7" s="58" t="s">
        <v>9</v>
      </c>
      <c r="B7" s="335" t="s">
        <v>108</v>
      </c>
      <c r="C7" s="335"/>
      <c r="D7" s="335"/>
      <c r="E7" s="335"/>
      <c r="F7" s="335"/>
      <c r="G7" s="336"/>
    </row>
    <row r="8" spans="1:11" ht="12.75" x14ac:dyDescent="0.2">
      <c r="A8" s="59"/>
      <c r="B8" s="59"/>
      <c r="C8" s="59"/>
      <c r="D8" s="59"/>
      <c r="E8" s="59"/>
      <c r="F8" s="59"/>
      <c r="G8" s="59"/>
    </row>
    <row r="9" spans="1:11" ht="12.75" x14ac:dyDescent="0.2">
      <c r="A9" s="59"/>
      <c r="B9" s="59"/>
      <c r="C9" s="59"/>
      <c r="D9" s="59"/>
      <c r="E9" s="59"/>
      <c r="F9" s="59"/>
      <c r="G9" s="59"/>
    </row>
    <row r="10" spans="1:11" ht="12.75" x14ac:dyDescent="0.2">
      <c r="A10" s="59"/>
      <c r="B10" s="59"/>
      <c r="C10" s="59"/>
      <c r="D10" s="59"/>
      <c r="E10" s="59"/>
      <c r="F10" s="59"/>
      <c r="G10" s="59"/>
    </row>
    <row r="11" spans="1:11" ht="12.75" x14ac:dyDescent="0.2">
      <c r="A11" s="59"/>
      <c r="B11" s="59"/>
      <c r="C11" s="59"/>
      <c r="D11" s="59"/>
      <c r="E11" s="59"/>
      <c r="F11" s="59"/>
      <c r="G11" s="59"/>
    </row>
    <row r="12" spans="1:11" ht="12.75" x14ac:dyDescent="0.2">
      <c r="A12" s="59"/>
      <c r="B12" s="59"/>
      <c r="C12" s="59"/>
      <c r="D12" s="59"/>
      <c r="E12" s="59"/>
      <c r="F12" s="59"/>
      <c r="G12" s="59"/>
    </row>
    <row r="13" spans="1:11" ht="12.75" x14ac:dyDescent="0.2">
      <c r="A13" s="59"/>
      <c r="B13" s="59"/>
      <c r="C13" s="59"/>
      <c r="D13" s="59"/>
      <c r="E13" s="59"/>
      <c r="F13" s="59"/>
      <c r="G13" s="59"/>
    </row>
    <row r="14" spans="1:11" s="1" customFormat="1" ht="12.75" x14ac:dyDescent="0.2">
      <c r="A14" s="59"/>
      <c r="B14" s="59"/>
      <c r="C14" s="59"/>
      <c r="D14" s="59"/>
      <c r="E14" s="59"/>
      <c r="F14" s="59"/>
      <c r="G14" s="59"/>
      <c r="I14" s="12"/>
      <c r="J14" s="4"/>
      <c r="K14" s="4"/>
    </row>
  </sheetData>
  <mergeCells count="5">
    <mergeCell ref="B3:F3"/>
    <mergeCell ref="B4:F4"/>
    <mergeCell ref="B5:F5"/>
    <mergeCell ref="A6:G6"/>
    <mergeCell ref="B7:G7"/>
  </mergeCells>
  <printOptions horizontalCentered="1"/>
  <pageMargins left="0.25" right="0.25" top="0.5" bottom="0.5" header="0.3" footer="0.05"/>
  <pageSetup orientation="landscape" horizontalDpi="4294967292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A1:K20"/>
  <sheetViews>
    <sheetView view="pageBreakPreview" zoomScaleSheetLayoutView="100" workbookViewId="0">
      <selection activeCell="C6" sqref="C6"/>
    </sheetView>
  </sheetViews>
  <sheetFormatPr defaultColWidth="9.140625" defaultRowHeight="11.25" x14ac:dyDescent="0.15"/>
  <cols>
    <col min="1" max="1" width="5.85546875" style="4" bestFit="1" customWidth="1"/>
    <col min="2" max="2" width="12.5703125" style="4" customWidth="1"/>
    <col min="3" max="3" width="70.85546875" style="4" customWidth="1"/>
    <col min="4" max="4" width="5" style="4" bestFit="1" customWidth="1"/>
    <col min="5" max="5" width="6.28515625" style="4" bestFit="1" customWidth="1"/>
    <col min="6" max="6" width="11.5703125" style="4" bestFit="1" customWidth="1"/>
    <col min="7" max="7" width="16.5703125" style="4" bestFit="1" customWidth="1"/>
    <col min="8" max="8" width="9.140625" style="1"/>
    <col min="9" max="9" width="10.5703125" style="12" bestFit="1" customWidth="1"/>
    <col min="10" max="10" width="13.28515625" style="4" bestFit="1" customWidth="1"/>
    <col min="11" max="16384" width="9.140625" style="4"/>
  </cols>
  <sheetData>
    <row r="1" spans="1:11" ht="25.5" x14ac:dyDescent="0.15">
      <c r="A1" s="48" t="s">
        <v>0</v>
      </c>
      <c r="B1" s="49" t="s">
        <v>5</v>
      </c>
      <c r="C1" s="49" t="s">
        <v>2</v>
      </c>
      <c r="D1" s="49" t="s">
        <v>3</v>
      </c>
      <c r="E1" s="49" t="s">
        <v>13</v>
      </c>
      <c r="F1" s="50" t="s">
        <v>11</v>
      </c>
      <c r="G1" s="50" t="s">
        <v>12</v>
      </c>
      <c r="H1" s="40" t="s">
        <v>17</v>
      </c>
      <c r="I1" s="41" t="s">
        <v>10</v>
      </c>
      <c r="J1" s="42" t="s">
        <v>529</v>
      </c>
      <c r="K1" s="4" t="s">
        <v>110</v>
      </c>
    </row>
    <row r="2" spans="1:11" ht="12.75" x14ac:dyDescent="0.15">
      <c r="A2" s="51">
        <v>1</v>
      </c>
      <c r="B2" s="51" t="s">
        <v>269</v>
      </c>
      <c r="C2" s="53" t="s">
        <v>530</v>
      </c>
      <c r="D2" s="54" t="s">
        <v>109</v>
      </c>
      <c r="E2" s="51">
        <v>1</v>
      </c>
      <c r="F2" s="55">
        <f t="shared" ref="F2:F7" si="0">H2*88*1.3</f>
        <v>282400.06080000004</v>
      </c>
      <c r="G2" s="56">
        <f t="shared" ref="G2:G7" si="1">F2*E2</f>
        <v>282400.06080000004</v>
      </c>
      <c r="H2" s="43">
        <f>J2*0.88</f>
        <v>2468.5320000000002</v>
      </c>
      <c r="I2" s="44"/>
      <c r="J2" s="45">
        <v>2805.15</v>
      </c>
      <c r="K2" s="114"/>
    </row>
    <row r="3" spans="1:11" ht="12.75" x14ac:dyDescent="0.15">
      <c r="A3" s="51">
        <v>2</v>
      </c>
      <c r="B3" s="51" t="s">
        <v>269</v>
      </c>
      <c r="C3" s="53" t="s">
        <v>531</v>
      </c>
      <c r="D3" s="54" t="s">
        <v>109</v>
      </c>
      <c r="E3" s="51">
        <v>1</v>
      </c>
      <c r="F3" s="55">
        <f t="shared" si="0"/>
        <v>279172.51648000005</v>
      </c>
      <c r="G3" s="56">
        <f t="shared" si="1"/>
        <v>279172.51648000005</v>
      </c>
      <c r="H3" s="43">
        <f t="shared" ref="H3:H8" si="2">J3*0.88</f>
        <v>2440.3192000000004</v>
      </c>
      <c r="I3" s="44"/>
      <c r="J3" s="45">
        <v>2773.09</v>
      </c>
      <c r="K3" s="114"/>
    </row>
    <row r="4" spans="1:11" ht="25.5" x14ac:dyDescent="0.15">
      <c r="A4" s="51">
        <v>3</v>
      </c>
      <c r="B4" s="51" t="s">
        <v>269</v>
      </c>
      <c r="C4" s="53" t="s">
        <v>532</v>
      </c>
      <c r="D4" s="54" t="s">
        <v>109</v>
      </c>
      <c r="E4" s="51">
        <v>1</v>
      </c>
      <c r="F4" s="55">
        <f t="shared" si="0"/>
        <v>177508.89728</v>
      </c>
      <c r="G4" s="56">
        <f t="shared" si="1"/>
        <v>177508.89728</v>
      </c>
      <c r="H4" s="43">
        <f t="shared" si="2"/>
        <v>1551.6512</v>
      </c>
      <c r="I4" s="44"/>
      <c r="J4" s="45">
        <v>1763.24</v>
      </c>
      <c r="K4" s="114"/>
    </row>
    <row r="5" spans="1:11" ht="12.75" x14ac:dyDescent="0.15">
      <c r="A5" s="51">
        <v>4</v>
      </c>
      <c r="B5" s="51" t="s">
        <v>269</v>
      </c>
      <c r="C5" s="53" t="s">
        <v>533</v>
      </c>
      <c r="D5" s="54" t="s">
        <v>109</v>
      </c>
      <c r="E5" s="51">
        <v>1</v>
      </c>
      <c r="F5" s="55">
        <f t="shared" si="0"/>
        <v>484113.52704000002</v>
      </c>
      <c r="G5" s="56">
        <f t="shared" si="1"/>
        <v>484113.52704000002</v>
      </c>
      <c r="H5" s="43">
        <f t="shared" si="2"/>
        <v>4231.7615999999998</v>
      </c>
      <c r="I5" s="44"/>
      <c r="J5" s="45">
        <v>4808.82</v>
      </c>
      <c r="K5" s="114"/>
    </row>
    <row r="6" spans="1:11" ht="12.75" x14ac:dyDescent="0.15">
      <c r="A6" s="51">
        <v>5</v>
      </c>
      <c r="B6" s="51" t="s">
        <v>269</v>
      </c>
      <c r="C6" s="53" t="s">
        <v>534</v>
      </c>
      <c r="D6" s="54" t="s">
        <v>109</v>
      </c>
      <c r="E6" s="51">
        <v>1</v>
      </c>
      <c r="F6" s="55">
        <f t="shared" si="0"/>
        <v>274331.2</v>
      </c>
      <c r="G6" s="56">
        <f t="shared" si="1"/>
        <v>274331.2</v>
      </c>
      <c r="H6" s="43">
        <f t="shared" si="2"/>
        <v>2398</v>
      </c>
      <c r="I6" s="44"/>
      <c r="J6" s="45">
        <v>2725</v>
      </c>
      <c r="K6" s="114"/>
    </row>
    <row r="7" spans="1:11" ht="12.75" x14ac:dyDescent="0.15">
      <c r="A7" s="51">
        <v>6</v>
      </c>
      <c r="B7" s="51" t="s">
        <v>269</v>
      </c>
      <c r="C7" s="53" t="s">
        <v>535</v>
      </c>
      <c r="D7" s="54" t="s">
        <v>109</v>
      </c>
      <c r="E7" s="51">
        <v>1</v>
      </c>
      <c r="F7" s="55">
        <f t="shared" si="0"/>
        <v>61321.328640000007</v>
      </c>
      <c r="G7" s="56">
        <f t="shared" si="1"/>
        <v>61321.328640000007</v>
      </c>
      <c r="H7" s="43">
        <f t="shared" si="2"/>
        <v>536.02560000000005</v>
      </c>
      <c r="I7" s="44"/>
      <c r="J7" s="45">
        <v>609.12</v>
      </c>
      <c r="K7" s="114"/>
    </row>
    <row r="8" spans="1:11" ht="12.75" x14ac:dyDescent="0.15">
      <c r="A8" s="51">
        <v>7</v>
      </c>
      <c r="B8" s="51" t="s">
        <v>269</v>
      </c>
      <c r="C8" s="53" t="s">
        <v>536</v>
      </c>
      <c r="D8" s="54" t="s">
        <v>109</v>
      </c>
      <c r="E8" s="51">
        <v>1</v>
      </c>
      <c r="F8" s="55">
        <f t="shared" ref="F8" si="3">H8*88*1.3</f>
        <v>72616.727040000012</v>
      </c>
      <c r="G8" s="56">
        <f t="shared" ref="G8" si="4">F8*E8</f>
        <v>72616.727040000012</v>
      </c>
      <c r="H8" s="43">
        <f t="shared" si="2"/>
        <v>634.76160000000004</v>
      </c>
      <c r="I8" s="44"/>
      <c r="J8" s="45">
        <v>721.32</v>
      </c>
      <c r="K8" s="114"/>
    </row>
    <row r="9" spans="1:11" ht="12.75" x14ac:dyDescent="0.15">
      <c r="A9" s="51">
        <v>8</v>
      </c>
      <c r="B9" s="337" t="s">
        <v>7</v>
      </c>
      <c r="C9" s="337"/>
      <c r="D9" s="337"/>
      <c r="E9" s="337"/>
      <c r="F9" s="337"/>
      <c r="G9" s="57">
        <f>SUM(G2:G8)</f>
        <v>1631464.25728</v>
      </c>
      <c r="H9" s="46"/>
      <c r="I9" s="46"/>
      <c r="J9" s="47"/>
    </row>
    <row r="10" spans="1:11" ht="12.75" x14ac:dyDescent="0.15">
      <c r="A10" s="51">
        <v>9</v>
      </c>
      <c r="B10" s="337" t="s">
        <v>55</v>
      </c>
      <c r="C10" s="337"/>
      <c r="D10" s="337"/>
      <c r="E10" s="337"/>
      <c r="F10" s="337"/>
      <c r="G10" s="57">
        <f>G9*18%</f>
        <v>293663.56631039997</v>
      </c>
    </row>
    <row r="11" spans="1:11" ht="12.75" x14ac:dyDescent="0.15">
      <c r="A11" s="51">
        <v>10</v>
      </c>
      <c r="B11" s="337" t="s">
        <v>8</v>
      </c>
      <c r="C11" s="337"/>
      <c r="D11" s="337"/>
      <c r="E11" s="337"/>
      <c r="F11" s="337"/>
      <c r="G11" s="57">
        <f>G10+G9</f>
        <v>1925127.8235903999</v>
      </c>
    </row>
    <row r="12" spans="1:11" ht="12.75" x14ac:dyDescent="0.15">
      <c r="A12" s="344"/>
      <c r="B12" s="345"/>
      <c r="C12" s="345"/>
      <c r="D12" s="345"/>
      <c r="E12" s="345"/>
      <c r="F12" s="345"/>
      <c r="G12" s="346"/>
    </row>
    <row r="13" spans="1:11" ht="140.25" x14ac:dyDescent="0.15">
      <c r="A13" s="58" t="s">
        <v>9</v>
      </c>
      <c r="B13" s="335" t="s">
        <v>108</v>
      </c>
      <c r="C13" s="335"/>
      <c r="D13" s="335"/>
      <c r="E13" s="335"/>
      <c r="F13" s="335"/>
      <c r="G13" s="336"/>
    </row>
    <row r="14" spans="1:11" ht="12.75" x14ac:dyDescent="0.2">
      <c r="A14" s="59"/>
      <c r="B14" s="59"/>
      <c r="C14" s="59"/>
      <c r="D14" s="59"/>
      <c r="E14" s="59"/>
      <c r="F14" s="59"/>
      <c r="G14" s="59"/>
    </row>
    <row r="15" spans="1:11" ht="12.75" x14ac:dyDescent="0.2">
      <c r="A15" s="59"/>
      <c r="B15" s="59"/>
      <c r="C15" s="59"/>
      <c r="D15" s="59"/>
      <c r="E15" s="59"/>
      <c r="F15" s="59"/>
      <c r="G15" s="59"/>
    </row>
    <row r="16" spans="1:11" ht="12.75" x14ac:dyDescent="0.2">
      <c r="A16" s="59"/>
      <c r="B16" s="59"/>
      <c r="C16" s="59"/>
      <c r="D16" s="59"/>
      <c r="E16" s="59"/>
      <c r="F16" s="59"/>
      <c r="G16" s="59"/>
    </row>
    <row r="17" spans="1:11" ht="12.75" x14ac:dyDescent="0.2">
      <c r="A17" s="59"/>
      <c r="B17" s="59"/>
      <c r="C17" s="59"/>
      <c r="D17" s="59"/>
      <c r="E17" s="59"/>
      <c r="F17" s="59"/>
      <c r="G17" s="59"/>
    </row>
    <row r="18" spans="1:11" ht="12.75" x14ac:dyDescent="0.2">
      <c r="A18" s="59"/>
      <c r="B18" s="59"/>
      <c r="C18" s="59"/>
      <c r="D18" s="59"/>
      <c r="E18" s="59"/>
      <c r="F18" s="59"/>
      <c r="G18" s="59"/>
    </row>
    <row r="19" spans="1:11" ht="12.75" x14ac:dyDescent="0.2">
      <c r="A19" s="59"/>
      <c r="B19" s="59"/>
      <c r="C19" s="59"/>
      <c r="D19" s="59"/>
      <c r="E19" s="59"/>
      <c r="F19" s="59"/>
      <c r="G19" s="59"/>
    </row>
    <row r="20" spans="1:11" s="1" customFormat="1" ht="12.75" x14ac:dyDescent="0.2">
      <c r="A20" s="59"/>
      <c r="B20" s="59"/>
      <c r="C20" s="59"/>
      <c r="D20" s="59"/>
      <c r="E20" s="59"/>
      <c r="F20" s="59"/>
      <c r="G20" s="59"/>
      <c r="I20" s="12"/>
      <c r="J20" s="4"/>
      <c r="K20" s="4"/>
    </row>
  </sheetData>
  <mergeCells count="5">
    <mergeCell ref="B9:F9"/>
    <mergeCell ref="B10:F10"/>
    <mergeCell ref="B11:F11"/>
    <mergeCell ref="A12:G12"/>
    <mergeCell ref="B13:G13"/>
  </mergeCells>
  <printOptions horizontalCentered="1"/>
  <pageMargins left="0.25" right="0.25" top="0.5" bottom="0.5" header="0.3" footer="0.05"/>
  <pageSetup orientation="landscape" horizontalDpi="4294967292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A1:K15"/>
  <sheetViews>
    <sheetView view="pageBreakPreview" zoomScaleSheetLayoutView="100" workbookViewId="0">
      <selection activeCell="B6" sqref="B6:F6"/>
    </sheetView>
  </sheetViews>
  <sheetFormatPr defaultColWidth="9.140625" defaultRowHeight="11.25" x14ac:dyDescent="0.15"/>
  <cols>
    <col min="1" max="1" width="5.85546875" style="4" bestFit="1" customWidth="1"/>
    <col min="2" max="2" width="12.5703125" style="4" customWidth="1"/>
    <col min="3" max="3" width="50.42578125" style="4" customWidth="1"/>
    <col min="4" max="4" width="5" style="4" bestFit="1" customWidth="1"/>
    <col min="5" max="5" width="6.28515625" style="4" bestFit="1" customWidth="1"/>
    <col min="6" max="6" width="11.5703125" style="4" bestFit="1" customWidth="1"/>
    <col min="7" max="7" width="16.5703125" style="4" bestFit="1" customWidth="1"/>
    <col min="8" max="8" width="16.5703125" style="93" customWidth="1"/>
    <col min="9" max="9" width="9.140625" style="1"/>
    <col min="10" max="10" width="13.28515625" style="4" bestFit="1" customWidth="1"/>
    <col min="11" max="16384" width="9.140625" style="4"/>
  </cols>
  <sheetData>
    <row r="1" spans="1:11" ht="25.5" x14ac:dyDescent="0.15">
      <c r="A1" s="95" t="s">
        <v>0</v>
      </c>
      <c r="B1" s="96" t="s">
        <v>5</v>
      </c>
      <c r="C1" s="96" t="s">
        <v>2</v>
      </c>
      <c r="D1" s="96" t="s">
        <v>3</v>
      </c>
      <c r="E1" s="96" t="s">
        <v>13</v>
      </c>
      <c r="F1" s="97" t="s">
        <v>11</v>
      </c>
      <c r="G1" s="97" t="s">
        <v>12</v>
      </c>
      <c r="H1" s="50" t="s">
        <v>17</v>
      </c>
      <c r="I1" s="40" t="s">
        <v>10</v>
      </c>
      <c r="J1" s="42" t="s">
        <v>529</v>
      </c>
      <c r="K1" s="4" t="s">
        <v>258</v>
      </c>
    </row>
    <row r="2" spans="1:11" s="59" customFormat="1" ht="25.5" x14ac:dyDescent="0.2">
      <c r="A2" s="51">
        <v>1</v>
      </c>
      <c r="B2" s="51">
        <v>1100000513</v>
      </c>
      <c r="C2" s="63" t="s">
        <v>393</v>
      </c>
      <c r="D2" s="54" t="s">
        <v>109</v>
      </c>
      <c r="E2" s="51">
        <v>2</v>
      </c>
      <c r="F2" s="103" t="s">
        <v>537</v>
      </c>
      <c r="G2" s="56">
        <v>0</v>
      </c>
      <c r="H2" s="89"/>
      <c r="I2" s="89"/>
      <c r="J2" s="94"/>
    </row>
    <row r="3" spans="1:11" s="59" customFormat="1" ht="38.25" x14ac:dyDescent="0.2">
      <c r="A3" s="51">
        <v>2</v>
      </c>
      <c r="B3" s="51">
        <v>4000012682</v>
      </c>
      <c r="C3" s="63" t="s">
        <v>394</v>
      </c>
      <c r="D3" s="54" t="s">
        <v>109</v>
      </c>
      <c r="E3" s="51">
        <v>1</v>
      </c>
      <c r="F3" s="55">
        <f>H3*88*1.33</f>
        <v>93632</v>
      </c>
      <c r="G3" s="56">
        <f t="shared" ref="G3" si="0">F3*E3</f>
        <v>93632</v>
      </c>
      <c r="H3" s="89">
        <v>800</v>
      </c>
      <c r="I3" s="89">
        <v>680</v>
      </c>
      <c r="J3" s="94">
        <v>552.83000000000004</v>
      </c>
    </row>
    <row r="4" spans="1:11" ht="12.75" x14ac:dyDescent="0.15">
      <c r="A4" s="51">
        <v>2</v>
      </c>
      <c r="B4" s="337" t="s">
        <v>7</v>
      </c>
      <c r="C4" s="337"/>
      <c r="D4" s="337"/>
      <c r="E4" s="337"/>
      <c r="F4" s="337"/>
      <c r="G4" s="57">
        <f>G3</f>
        <v>93632</v>
      </c>
      <c r="H4" s="90"/>
      <c r="I4" s="46"/>
      <c r="J4" s="47"/>
    </row>
    <row r="5" spans="1:11" ht="12.75" x14ac:dyDescent="0.15">
      <c r="A5" s="51">
        <v>3</v>
      </c>
      <c r="B5" s="337" t="s">
        <v>186</v>
      </c>
      <c r="C5" s="337"/>
      <c r="D5" s="337"/>
      <c r="E5" s="337"/>
      <c r="F5" s="337"/>
      <c r="G5" s="57">
        <f>G4*18%</f>
        <v>16853.759999999998</v>
      </c>
      <c r="H5" s="90"/>
    </row>
    <row r="6" spans="1:11" ht="12.75" x14ac:dyDescent="0.15">
      <c r="A6" s="51">
        <v>4</v>
      </c>
      <c r="B6" s="337" t="s">
        <v>8</v>
      </c>
      <c r="C6" s="337"/>
      <c r="D6" s="337"/>
      <c r="E6" s="337"/>
      <c r="F6" s="337"/>
      <c r="G6" s="57">
        <f>G5+G4</f>
        <v>110485.75999999999</v>
      </c>
      <c r="H6" s="90"/>
    </row>
    <row r="7" spans="1:11" ht="12.75" x14ac:dyDescent="0.15">
      <c r="A7" s="344"/>
      <c r="B7" s="345"/>
      <c r="C7" s="345"/>
      <c r="D7" s="345"/>
      <c r="E7" s="345"/>
      <c r="F7" s="345"/>
      <c r="G7" s="346"/>
      <c r="H7" s="91"/>
    </row>
    <row r="8" spans="1:11" ht="140.25" x14ac:dyDescent="0.15">
      <c r="A8" s="58" t="s">
        <v>9</v>
      </c>
      <c r="B8" s="335" t="s">
        <v>381</v>
      </c>
      <c r="C8" s="335"/>
      <c r="D8" s="335"/>
      <c r="E8" s="335"/>
      <c r="F8" s="335"/>
      <c r="G8" s="336"/>
      <c r="H8" s="88"/>
    </row>
    <row r="9" spans="1:11" ht="12.75" x14ac:dyDescent="0.2">
      <c r="A9" s="59"/>
      <c r="B9" s="59"/>
      <c r="C9" s="59"/>
      <c r="D9" s="59"/>
      <c r="E9" s="59"/>
      <c r="F9" s="59"/>
      <c r="G9" s="59"/>
      <c r="H9" s="92"/>
    </row>
    <row r="10" spans="1:11" ht="12.75" x14ac:dyDescent="0.2">
      <c r="A10" s="59"/>
      <c r="B10" s="59"/>
      <c r="C10" s="59"/>
      <c r="D10" s="59"/>
      <c r="E10" s="59"/>
      <c r="F10" s="59"/>
      <c r="G10" s="59"/>
      <c r="H10" s="92"/>
    </row>
    <row r="11" spans="1:11" ht="12.75" x14ac:dyDescent="0.2">
      <c r="A11" s="59"/>
      <c r="B11" s="59"/>
      <c r="C11" s="59"/>
      <c r="D11" s="59"/>
      <c r="E11" s="59"/>
      <c r="F11" s="59"/>
      <c r="G11" s="59"/>
      <c r="H11" s="92"/>
    </row>
    <row r="12" spans="1:11" ht="12.75" x14ac:dyDescent="0.2">
      <c r="A12" s="59"/>
      <c r="B12" s="59"/>
      <c r="C12" s="59"/>
      <c r="D12" s="59"/>
      <c r="E12" s="59"/>
      <c r="F12" s="59"/>
      <c r="G12" s="59"/>
      <c r="H12" s="92"/>
    </row>
    <row r="13" spans="1:11" ht="12.75" x14ac:dyDescent="0.2">
      <c r="A13" s="59"/>
      <c r="B13" s="59"/>
      <c r="C13" s="59"/>
      <c r="D13" s="59"/>
      <c r="E13" s="59"/>
      <c r="F13" s="59"/>
      <c r="G13" s="59"/>
      <c r="H13" s="92"/>
    </row>
    <row r="14" spans="1:11" ht="12.75" x14ac:dyDescent="0.2">
      <c r="A14" s="59"/>
      <c r="B14" s="59"/>
      <c r="C14" s="59"/>
      <c r="D14" s="59"/>
      <c r="E14" s="59"/>
      <c r="F14" s="59"/>
      <c r="G14" s="59"/>
      <c r="H14" s="92"/>
    </row>
    <row r="15" spans="1:11" s="1" customFormat="1" ht="12.75" x14ac:dyDescent="0.2">
      <c r="A15" s="59"/>
      <c r="B15" s="59"/>
      <c r="C15" s="59"/>
      <c r="D15" s="59"/>
      <c r="E15" s="59"/>
      <c r="F15" s="59"/>
      <c r="G15" s="59"/>
      <c r="H15" s="92"/>
      <c r="J15" s="4"/>
    </row>
  </sheetData>
  <mergeCells count="5">
    <mergeCell ref="B4:F4"/>
    <mergeCell ref="B5:F5"/>
    <mergeCell ref="B6:F6"/>
    <mergeCell ref="A7:G7"/>
    <mergeCell ref="B8:G8"/>
  </mergeCells>
  <printOptions horizontalCentered="1"/>
  <pageMargins left="0.25" right="0.25" top="0.5" bottom="0.5" header="0.3" footer="0.05"/>
  <pageSetup orientation="landscape" horizontalDpi="4294967292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A1:K22"/>
  <sheetViews>
    <sheetView view="pageBreakPreview" zoomScaleSheetLayoutView="100" workbookViewId="0">
      <selection activeCell="C2" sqref="C2"/>
    </sheetView>
  </sheetViews>
  <sheetFormatPr defaultColWidth="9.140625" defaultRowHeight="11.25" x14ac:dyDescent="0.15"/>
  <cols>
    <col min="1" max="1" width="5.85546875" style="4" bestFit="1" customWidth="1"/>
    <col min="2" max="2" width="10.5703125" style="4" bestFit="1" customWidth="1"/>
    <col min="3" max="3" width="50.42578125" style="4" customWidth="1"/>
    <col min="4" max="4" width="13.42578125" style="4" bestFit="1" customWidth="1"/>
    <col min="5" max="5" width="6.28515625" style="4" bestFit="1" customWidth="1"/>
    <col min="6" max="6" width="11.5703125" style="4" bestFit="1" customWidth="1"/>
    <col min="7" max="7" width="16.5703125" style="4" bestFit="1" customWidth="1"/>
    <col min="8" max="8" width="16.5703125" style="93" customWidth="1"/>
    <col min="9" max="9" width="9.140625" style="1"/>
    <col min="10" max="10" width="13.28515625" style="4" bestFit="1" customWidth="1"/>
    <col min="11" max="16384" width="9.140625" style="4"/>
  </cols>
  <sheetData>
    <row r="1" spans="1:11" ht="25.5" x14ac:dyDescent="0.15">
      <c r="A1" s="95" t="s">
        <v>0</v>
      </c>
      <c r="B1" s="96" t="s">
        <v>547</v>
      </c>
      <c r="C1" s="96" t="s">
        <v>2</v>
      </c>
      <c r="D1" s="96" t="s">
        <v>556</v>
      </c>
      <c r="E1" s="96" t="s">
        <v>13</v>
      </c>
      <c r="F1" s="97" t="s">
        <v>11</v>
      </c>
      <c r="G1" s="97" t="s">
        <v>12</v>
      </c>
      <c r="H1" s="50" t="s">
        <v>17</v>
      </c>
      <c r="I1" s="40" t="s">
        <v>347</v>
      </c>
      <c r="J1" s="42" t="s">
        <v>529</v>
      </c>
      <c r="K1" s="4" t="s">
        <v>258</v>
      </c>
    </row>
    <row r="2" spans="1:11" s="59" customFormat="1" ht="12.75" x14ac:dyDescent="0.2">
      <c r="A2" s="51">
        <v>1</v>
      </c>
      <c r="B2" s="51">
        <v>6</v>
      </c>
      <c r="C2" s="63" t="s">
        <v>538</v>
      </c>
      <c r="D2" s="54" t="s">
        <v>548</v>
      </c>
      <c r="E2" s="51">
        <v>1</v>
      </c>
      <c r="F2" s="55">
        <f>H2*90*1.33</f>
        <v>177215.85</v>
      </c>
      <c r="G2" s="56">
        <f t="shared" ref="G2:G6" si="0">F2*E2</f>
        <v>177215.85</v>
      </c>
      <c r="H2" s="89">
        <f>I2*1.05</f>
        <v>1480.5</v>
      </c>
      <c r="I2" s="89">
        <v>1410</v>
      </c>
      <c r="J2" s="94"/>
    </row>
    <row r="3" spans="1:11" s="59" customFormat="1" ht="12.75" x14ac:dyDescent="0.2">
      <c r="A3" s="51">
        <v>2</v>
      </c>
      <c r="B3" s="51">
        <v>8</v>
      </c>
      <c r="C3" s="63" t="s">
        <v>539</v>
      </c>
      <c r="D3" s="54" t="s">
        <v>549</v>
      </c>
      <c r="E3" s="51">
        <v>1</v>
      </c>
      <c r="F3" s="55">
        <f t="shared" ref="F3:F10" si="1">H3*90*1.33</f>
        <v>192926.47500000001</v>
      </c>
      <c r="G3" s="56">
        <f t="shared" si="0"/>
        <v>192926.47500000001</v>
      </c>
      <c r="H3" s="89">
        <f t="shared" ref="H3:H10" si="2">I3*1.05</f>
        <v>1611.75</v>
      </c>
      <c r="I3" s="89">
        <v>1535</v>
      </c>
      <c r="J3" s="94"/>
    </row>
    <row r="4" spans="1:11" s="59" customFormat="1" ht="12.75" x14ac:dyDescent="0.2">
      <c r="A4" s="51">
        <v>3</v>
      </c>
      <c r="B4" s="51">
        <v>11</v>
      </c>
      <c r="C4" s="63" t="s">
        <v>540</v>
      </c>
      <c r="D4" s="54" t="s">
        <v>550</v>
      </c>
      <c r="E4" s="51">
        <v>1</v>
      </c>
      <c r="F4" s="55">
        <f t="shared" si="1"/>
        <v>254512.125</v>
      </c>
      <c r="G4" s="56">
        <f t="shared" si="0"/>
        <v>254512.125</v>
      </c>
      <c r="H4" s="89">
        <f t="shared" si="2"/>
        <v>2126.25</v>
      </c>
      <c r="I4" s="89">
        <v>2025</v>
      </c>
      <c r="J4" s="94"/>
    </row>
    <row r="5" spans="1:11" s="59" customFormat="1" ht="12.75" x14ac:dyDescent="0.2">
      <c r="A5" s="51">
        <v>4</v>
      </c>
      <c r="B5" s="51">
        <v>12</v>
      </c>
      <c r="C5" s="63" t="s">
        <v>541</v>
      </c>
      <c r="D5" s="54"/>
      <c r="E5" s="51">
        <v>1</v>
      </c>
      <c r="F5" s="55">
        <f t="shared" si="1"/>
        <v>30792.825000000001</v>
      </c>
      <c r="G5" s="56">
        <f t="shared" si="0"/>
        <v>30792.825000000001</v>
      </c>
      <c r="H5" s="89">
        <f t="shared" si="2"/>
        <v>257.25</v>
      </c>
      <c r="I5" s="89">
        <v>245</v>
      </c>
      <c r="J5" s="94"/>
    </row>
    <row r="6" spans="1:11" s="59" customFormat="1" ht="12.75" x14ac:dyDescent="0.2">
      <c r="A6" s="51">
        <v>5</v>
      </c>
      <c r="B6" s="51">
        <v>14</v>
      </c>
      <c r="C6" s="63" t="s">
        <v>542</v>
      </c>
      <c r="D6" s="54" t="s">
        <v>551</v>
      </c>
      <c r="E6" s="51">
        <v>1</v>
      </c>
      <c r="F6" s="55">
        <f t="shared" si="1"/>
        <v>173445.30000000002</v>
      </c>
      <c r="G6" s="56">
        <f t="shared" si="0"/>
        <v>173445.30000000002</v>
      </c>
      <c r="H6" s="89">
        <f t="shared" si="2"/>
        <v>1449</v>
      </c>
      <c r="I6" s="89">
        <v>1380</v>
      </c>
      <c r="J6" s="94"/>
    </row>
    <row r="7" spans="1:11" s="59" customFormat="1" ht="25.5" x14ac:dyDescent="0.2">
      <c r="A7" s="51">
        <v>6</v>
      </c>
      <c r="B7" s="51">
        <v>34</v>
      </c>
      <c r="C7" s="63" t="s">
        <v>543</v>
      </c>
      <c r="D7" s="54" t="s">
        <v>552</v>
      </c>
      <c r="E7" s="51">
        <v>1</v>
      </c>
      <c r="F7" s="55">
        <f t="shared" si="1"/>
        <v>111859.65000000001</v>
      </c>
      <c r="G7" s="56">
        <f t="shared" ref="G7:G10" si="3">F7*E7</f>
        <v>111859.65000000001</v>
      </c>
      <c r="H7" s="89">
        <f t="shared" si="2"/>
        <v>934.5</v>
      </c>
      <c r="I7" s="89">
        <v>890</v>
      </c>
      <c r="J7" s="94"/>
    </row>
    <row r="8" spans="1:11" s="59" customFormat="1" ht="12.75" x14ac:dyDescent="0.2">
      <c r="A8" s="51">
        <v>7</v>
      </c>
      <c r="B8" s="51">
        <v>79</v>
      </c>
      <c r="C8" s="63" t="s">
        <v>544</v>
      </c>
      <c r="D8" s="54" t="s">
        <v>553</v>
      </c>
      <c r="E8" s="51">
        <v>2</v>
      </c>
      <c r="F8" s="55">
        <f t="shared" si="1"/>
        <v>23880.15</v>
      </c>
      <c r="G8" s="56">
        <f t="shared" si="3"/>
        <v>47760.3</v>
      </c>
      <c r="H8" s="89">
        <f t="shared" si="2"/>
        <v>199.5</v>
      </c>
      <c r="I8" s="89">
        <v>190</v>
      </c>
      <c r="J8" s="94"/>
    </row>
    <row r="9" spans="1:11" s="59" customFormat="1" ht="25.5" x14ac:dyDescent="0.2">
      <c r="A9" s="51">
        <v>8</v>
      </c>
      <c r="B9" s="51">
        <v>91</v>
      </c>
      <c r="C9" s="63" t="s">
        <v>545</v>
      </c>
      <c r="D9" s="54" t="s">
        <v>554</v>
      </c>
      <c r="E9" s="51">
        <v>1</v>
      </c>
      <c r="F9" s="55">
        <f t="shared" si="1"/>
        <v>111859.65000000001</v>
      </c>
      <c r="G9" s="56">
        <f t="shared" si="3"/>
        <v>111859.65000000001</v>
      </c>
      <c r="H9" s="89">
        <f t="shared" si="2"/>
        <v>934.5</v>
      </c>
      <c r="I9" s="89">
        <v>890</v>
      </c>
      <c r="J9" s="94"/>
    </row>
    <row r="10" spans="1:11" s="59" customFormat="1" ht="25.5" x14ac:dyDescent="0.2">
      <c r="A10" s="51">
        <v>9</v>
      </c>
      <c r="B10" s="51">
        <v>92</v>
      </c>
      <c r="C10" s="63" t="s">
        <v>546</v>
      </c>
      <c r="D10" s="54" t="s">
        <v>555</v>
      </c>
      <c r="E10" s="51">
        <v>2</v>
      </c>
      <c r="F10" s="55">
        <f t="shared" si="1"/>
        <v>17595.900000000001</v>
      </c>
      <c r="G10" s="56">
        <f t="shared" si="3"/>
        <v>35191.800000000003</v>
      </c>
      <c r="H10" s="89">
        <f t="shared" si="2"/>
        <v>147</v>
      </c>
      <c r="I10" s="89">
        <v>140</v>
      </c>
      <c r="J10" s="94"/>
    </row>
    <row r="11" spans="1:11" ht="12.75" x14ac:dyDescent="0.15">
      <c r="A11" s="51">
        <v>10</v>
      </c>
      <c r="B11" s="337" t="s">
        <v>7</v>
      </c>
      <c r="C11" s="337"/>
      <c r="D11" s="337"/>
      <c r="E11" s="337"/>
      <c r="F11" s="337"/>
      <c r="G11" s="57">
        <f>SUM(G2:G10)</f>
        <v>1135563.9750000001</v>
      </c>
      <c r="H11" s="90"/>
      <c r="I11" s="46"/>
      <c r="J11" s="47"/>
    </row>
    <row r="12" spans="1:11" ht="12.75" x14ac:dyDescent="0.15">
      <c r="A12" s="51">
        <v>11</v>
      </c>
      <c r="B12" s="337" t="s">
        <v>186</v>
      </c>
      <c r="C12" s="337"/>
      <c r="D12" s="337"/>
      <c r="E12" s="337"/>
      <c r="F12" s="337"/>
      <c r="G12" s="57">
        <f>G11*18%</f>
        <v>204401.51550000001</v>
      </c>
      <c r="H12" s="90"/>
    </row>
    <row r="13" spans="1:11" ht="12.75" x14ac:dyDescent="0.15">
      <c r="A13" s="51">
        <v>12</v>
      </c>
      <c r="B13" s="337" t="s">
        <v>8</v>
      </c>
      <c r="C13" s="337"/>
      <c r="D13" s="337"/>
      <c r="E13" s="337"/>
      <c r="F13" s="337"/>
      <c r="G13" s="57">
        <f>G12+G11</f>
        <v>1339965.4905000001</v>
      </c>
      <c r="H13" s="90"/>
    </row>
    <row r="14" spans="1:11" ht="12.75" x14ac:dyDescent="0.15">
      <c r="A14" s="344"/>
      <c r="B14" s="345"/>
      <c r="C14" s="345"/>
      <c r="D14" s="345"/>
      <c r="E14" s="345"/>
      <c r="F14" s="345"/>
      <c r="G14" s="346"/>
      <c r="H14" s="91"/>
    </row>
    <row r="15" spans="1:11" ht="140.25" x14ac:dyDescent="0.15">
      <c r="A15" s="58" t="s">
        <v>9</v>
      </c>
      <c r="B15" s="335" t="s">
        <v>557</v>
      </c>
      <c r="C15" s="335"/>
      <c r="D15" s="335"/>
      <c r="E15" s="335"/>
      <c r="F15" s="335"/>
      <c r="G15" s="336"/>
      <c r="H15" s="88"/>
    </row>
    <row r="16" spans="1:11" ht="12.75" x14ac:dyDescent="0.2">
      <c r="A16" s="59"/>
      <c r="B16" s="59"/>
      <c r="C16" s="59"/>
      <c r="D16" s="59"/>
      <c r="E16" s="59"/>
      <c r="F16" s="59"/>
      <c r="G16" s="59"/>
      <c r="H16" s="92"/>
    </row>
    <row r="17" spans="1:10" ht="12.75" x14ac:dyDescent="0.2">
      <c r="A17" s="59"/>
      <c r="B17" s="59"/>
      <c r="C17" s="59"/>
      <c r="D17" s="59"/>
      <c r="E17" s="59"/>
      <c r="F17" s="59"/>
      <c r="G17" s="59"/>
      <c r="H17" s="92"/>
    </row>
    <row r="18" spans="1:10" ht="12.75" x14ac:dyDescent="0.2">
      <c r="A18" s="59"/>
      <c r="B18" s="59"/>
      <c r="C18" s="59"/>
      <c r="D18" s="59"/>
      <c r="E18" s="59"/>
      <c r="F18" s="59"/>
      <c r="G18" s="59"/>
      <c r="H18" s="92"/>
    </row>
    <row r="19" spans="1:10" ht="12.75" x14ac:dyDescent="0.2">
      <c r="A19" s="59"/>
      <c r="B19" s="59"/>
      <c r="C19" s="59"/>
      <c r="D19" s="59"/>
      <c r="E19" s="59"/>
      <c r="F19" s="59"/>
      <c r="G19" s="59"/>
      <c r="H19" s="92"/>
    </row>
    <row r="20" spans="1:10" ht="12.75" x14ac:dyDescent="0.2">
      <c r="A20" s="59"/>
      <c r="B20" s="59"/>
      <c r="C20" s="59"/>
      <c r="D20" s="59"/>
      <c r="E20" s="59"/>
      <c r="F20" s="59"/>
      <c r="G20" s="59"/>
      <c r="H20" s="92"/>
    </row>
    <row r="21" spans="1:10" ht="12.75" x14ac:dyDescent="0.2">
      <c r="A21" s="59"/>
      <c r="B21" s="59"/>
      <c r="C21" s="59"/>
      <c r="D21" s="59"/>
      <c r="E21" s="59"/>
      <c r="F21" s="59"/>
      <c r="G21" s="59"/>
      <c r="H21" s="92"/>
    </row>
    <row r="22" spans="1:10" s="1" customFormat="1" ht="12.75" x14ac:dyDescent="0.2">
      <c r="A22" s="59"/>
      <c r="B22" s="59"/>
      <c r="C22" s="59"/>
      <c r="D22" s="59"/>
      <c r="E22" s="59"/>
      <c r="F22" s="59"/>
      <c r="G22" s="59"/>
      <c r="H22" s="92"/>
      <c r="J22" s="4"/>
    </row>
  </sheetData>
  <mergeCells count="5">
    <mergeCell ref="B11:F11"/>
    <mergeCell ref="B12:F12"/>
    <mergeCell ref="B13:F13"/>
    <mergeCell ref="A14:G14"/>
    <mergeCell ref="B15:G15"/>
  </mergeCells>
  <printOptions horizontalCentered="1"/>
  <pageMargins left="0.25" right="0.25" top="0.5" bottom="0.5" header="0.3" footer="0.05"/>
  <pageSetup orientation="landscape" horizontalDpi="4294967292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A1:J14"/>
  <sheetViews>
    <sheetView view="pageBreakPreview" zoomScaleSheetLayoutView="100" workbookViewId="0">
      <selection activeCell="B2" sqref="B2"/>
    </sheetView>
  </sheetViews>
  <sheetFormatPr defaultColWidth="9.140625" defaultRowHeight="11.25" x14ac:dyDescent="0.15"/>
  <cols>
    <col min="1" max="1" width="5.85546875" style="4" bestFit="1" customWidth="1"/>
    <col min="2" max="2" width="11" style="4" bestFit="1" customWidth="1"/>
    <col min="3" max="3" width="50.42578125" style="4" customWidth="1"/>
    <col min="4" max="4" width="6.28515625" style="4" bestFit="1" customWidth="1"/>
    <col min="5" max="5" width="11.5703125" style="4" bestFit="1" customWidth="1"/>
    <col min="6" max="6" width="16.5703125" style="4" bestFit="1" customWidth="1"/>
    <col min="7" max="7" width="16.5703125" style="93" customWidth="1"/>
    <col min="8" max="8" width="9.140625" style="1"/>
    <col min="9" max="9" width="13.28515625" style="4" bestFit="1" customWidth="1"/>
    <col min="10" max="16384" width="9.140625" style="4"/>
  </cols>
  <sheetData>
    <row r="1" spans="1:10" ht="25.5" x14ac:dyDescent="0.15">
      <c r="A1" s="95" t="s">
        <v>0</v>
      </c>
      <c r="B1" s="96" t="s">
        <v>547</v>
      </c>
      <c r="C1" s="96" t="s">
        <v>2</v>
      </c>
      <c r="D1" s="96" t="s">
        <v>13</v>
      </c>
      <c r="E1" s="97" t="s">
        <v>11</v>
      </c>
      <c r="F1" s="97" t="s">
        <v>12</v>
      </c>
      <c r="G1" s="50" t="s">
        <v>17</v>
      </c>
      <c r="H1" s="40" t="s">
        <v>10</v>
      </c>
      <c r="I1" s="42" t="s">
        <v>110</v>
      </c>
      <c r="J1" s="4" t="s">
        <v>258</v>
      </c>
    </row>
    <row r="2" spans="1:10" s="59" customFormat="1" ht="12.75" x14ac:dyDescent="0.2">
      <c r="A2" s="51">
        <v>1</v>
      </c>
      <c r="B2" s="51">
        <v>3502000012</v>
      </c>
      <c r="C2" s="63" t="s">
        <v>324</v>
      </c>
      <c r="D2" s="51">
        <v>2</v>
      </c>
      <c r="E2" s="55">
        <f>G2*90*1.33</f>
        <v>197505</v>
      </c>
      <c r="F2" s="56">
        <f t="shared" ref="F2" si="0">E2*D2</f>
        <v>395010</v>
      </c>
      <c r="G2" s="89">
        <v>1650</v>
      </c>
      <c r="H2" s="89">
        <v>995</v>
      </c>
      <c r="I2" s="94">
        <v>1650</v>
      </c>
    </row>
    <row r="3" spans="1:10" ht="12.75" x14ac:dyDescent="0.15">
      <c r="A3" s="51">
        <v>2</v>
      </c>
      <c r="B3" s="337" t="s">
        <v>7</v>
      </c>
      <c r="C3" s="337"/>
      <c r="D3" s="337"/>
      <c r="E3" s="337"/>
      <c r="F3" s="57">
        <f>SUM(F2:F2)</f>
        <v>395010</v>
      </c>
      <c r="G3" s="90"/>
      <c r="H3" s="46"/>
      <c r="I3" s="47"/>
    </row>
    <row r="4" spans="1:10" ht="12.75" x14ac:dyDescent="0.15">
      <c r="A4" s="51">
        <v>3</v>
      </c>
      <c r="B4" s="337" t="s">
        <v>186</v>
      </c>
      <c r="C4" s="337"/>
      <c r="D4" s="337"/>
      <c r="E4" s="337"/>
      <c r="F4" s="57">
        <f>F3*18%</f>
        <v>71101.8</v>
      </c>
      <c r="G4" s="90"/>
    </row>
    <row r="5" spans="1:10" ht="12.75" x14ac:dyDescent="0.15">
      <c r="A5" s="51">
        <v>4</v>
      </c>
      <c r="B5" s="337" t="s">
        <v>8</v>
      </c>
      <c r="C5" s="337"/>
      <c r="D5" s="337"/>
      <c r="E5" s="337"/>
      <c r="F5" s="57">
        <f>F4+F3</f>
        <v>466111.8</v>
      </c>
      <c r="G5" s="90"/>
    </row>
    <row r="6" spans="1:10" ht="12.75" x14ac:dyDescent="0.15">
      <c r="A6" s="344"/>
      <c r="B6" s="345"/>
      <c r="C6" s="345"/>
      <c r="D6" s="345"/>
      <c r="E6" s="345"/>
      <c r="F6" s="346"/>
      <c r="G6" s="91"/>
    </row>
    <row r="7" spans="1:10" ht="140.25" x14ac:dyDescent="0.15">
      <c r="A7" s="58" t="s">
        <v>9</v>
      </c>
      <c r="B7" s="335" t="s">
        <v>557</v>
      </c>
      <c r="C7" s="335"/>
      <c r="D7" s="335"/>
      <c r="E7" s="335"/>
      <c r="F7" s="336"/>
      <c r="G7" s="88"/>
    </row>
    <row r="8" spans="1:10" ht="12.75" x14ac:dyDescent="0.2">
      <c r="A8" s="59"/>
      <c r="B8" s="59"/>
      <c r="C8" s="59"/>
      <c r="D8" s="59"/>
      <c r="E8" s="59"/>
      <c r="F8" s="59"/>
      <c r="G8" s="92"/>
    </row>
    <row r="9" spans="1:10" ht="12.75" x14ac:dyDescent="0.2">
      <c r="A9" s="59"/>
      <c r="B9" s="59"/>
      <c r="C9" s="59"/>
      <c r="D9" s="59"/>
      <c r="E9" s="59"/>
      <c r="F9" s="59"/>
      <c r="G9" s="92"/>
    </row>
    <row r="10" spans="1:10" ht="12.75" x14ac:dyDescent="0.2">
      <c r="A10" s="59"/>
      <c r="B10" s="59"/>
      <c r="C10" s="59"/>
      <c r="D10" s="59"/>
      <c r="E10" s="59"/>
      <c r="F10" s="59"/>
      <c r="G10" s="92"/>
    </row>
    <row r="11" spans="1:10" ht="12.75" x14ac:dyDescent="0.2">
      <c r="A11" s="59"/>
      <c r="B11" s="59"/>
      <c r="C11" s="59"/>
      <c r="D11" s="59"/>
      <c r="E11" s="59"/>
      <c r="F11" s="59"/>
      <c r="G11" s="92"/>
    </row>
    <row r="12" spans="1:10" ht="12.75" x14ac:dyDescent="0.2">
      <c r="A12" s="59"/>
      <c r="B12" s="59"/>
      <c r="C12" s="59"/>
      <c r="D12" s="59"/>
      <c r="E12" s="59"/>
      <c r="F12" s="59"/>
      <c r="G12" s="92"/>
    </row>
    <row r="13" spans="1:10" ht="12.75" x14ac:dyDescent="0.2">
      <c r="A13" s="59"/>
      <c r="B13" s="59"/>
      <c r="C13" s="59"/>
      <c r="D13" s="59"/>
      <c r="E13" s="59"/>
      <c r="F13" s="59"/>
      <c r="G13" s="92"/>
    </row>
    <row r="14" spans="1:10" s="1" customFormat="1" ht="12.75" x14ac:dyDescent="0.2">
      <c r="A14" s="59"/>
      <c r="B14" s="59"/>
      <c r="C14" s="59"/>
      <c r="D14" s="59"/>
      <c r="E14" s="59"/>
      <c r="F14" s="59"/>
      <c r="G14" s="92"/>
      <c r="I14" s="4"/>
    </row>
  </sheetData>
  <mergeCells count="5">
    <mergeCell ref="B3:E3"/>
    <mergeCell ref="B4:E4"/>
    <mergeCell ref="B5:E5"/>
    <mergeCell ref="A6:F6"/>
    <mergeCell ref="B7:F7"/>
  </mergeCells>
  <printOptions horizontalCentered="1"/>
  <pageMargins left="0.25" right="0.25" top="0.5" bottom="0.5" header="0.3" footer="0.05"/>
  <pageSetup orientation="landscape" horizontalDpi="4294967292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A1:J16"/>
  <sheetViews>
    <sheetView view="pageBreakPreview" topLeftCell="A4" zoomScaleSheetLayoutView="100" workbookViewId="0">
      <selection activeCell="B9" sqref="B9:F9"/>
    </sheetView>
  </sheetViews>
  <sheetFormatPr defaultColWidth="9.140625" defaultRowHeight="11.25" x14ac:dyDescent="0.15"/>
  <cols>
    <col min="1" max="1" width="5.85546875" style="4" bestFit="1" customWidth="1"/>
    <col min="2" max="2" width="10.5703125" style="4" bestFit="1" customWidth="1"/>
    <col min="3" max="3" width="50.42578125" style="4" customWidth="1"/>
    <col min="4" max="4" width="6.28515625" style="4" bestFit="1" customWidth="1"/>
    <col min="5" max="5" width="11.5703125" style="4" bestFit="1" customWidth="1"/>
    <col min="6" max="6" width="16.5703125" style="4" bestFit="1" customWidth="1"/>
    <col min="7" max="7" width="16.5703125" style="93" customWidth="1"/>
    <col min="8" max="8" width="9.140625" style="1"/>
    <col min="9" max="9" width="13.28515625" style="4" bestFit="1" customWidth="1"/>
    <col min="10" max="16384" width="9.140625" style="4"/>
  </cols>
  <sheetData>
    <row r="1" spans="1:10" ht="25.5" x14ac:dyDescent="0.15">
      <c r="A1" s="95" t="s">
        <v>0</v>
      </c>
      <c r="B1" s="96" t="s">
        <v>547</v>
      </c>
      <c r="C1" s="96" t="s">
        <v>2</v>
      </c>
      <c r="D1" s="96" t="s">
        <v>13</v>
      </c>
      <c r="E1" s="97" t="s">
        <v>11</v>
      </c>
      <c r="F1" s="97" t="s">
        <v>12</v>
      </c>
      <c r="G1" s="50" t="s">
        <v>17</v>
      </c>
      <c r="H1" s="40" t="s">
        <v>10</v>
      </c>
      <c r="I1" s="42" t="s">
        <v>110</v>
      </c>
      <c r="J1" s="4" t="s">
        <v>258</v>
      </c>
    </row>
    <row r="2" spans="1:10" s="59" customFormat="1" ht="76.5" x14ac:dyDescent="0.2">
      <c r="A2" s="51">
        <v>1</v>
      </c>
      <c r="B2" s="51">
        <v>5701010019</v>
      </c>
      <c r="C2" s="63" t="s">
        <v>558</v>
      </c>
      <c r="D2" s="51">
        <v>1</v>
      </c>
      <c r="E2" s="55">
        <f t="shared" ref="E2:E4" si="0">G2*90*1.33</f>
        <v>700245</v>
      </c>
      <c r="F2" s="56">
        <f t="shared" ref="F2:F4" si="1">E2*D2</f>
        <v>700245</v>
      </c>
      <c r="G2" s="89">
        <f>H2</f>
        <v>5850</v>
      </c>
      <c r="H2" s="89">
        <v>5850</v>
      </c>
      <c r="I2" s="94"/>
    </row>
    <row r="3" spans="1:10" s="59" customFormat="1" ht="51" x14ac:dyDescent="0.2">
      <c r="A3" s="51">
        <v>2</v>
      </c>
      <c r="B3" s="51">
        <v>5701010002</v>
      </c>
      <c r="C3" s="63" t="s">
        <v>559</v>
      </c>
      <c r="D3" s="51">
        <v>1</v>
      </c>
      <c r="E3" s="55">
        <f t="shared" si="0"/>
        <v>313614</v>
      </c>
      <c r="F3" s="56">
        <f t="shared" si="1"/>
        <v>313614</v>
      </c>
      <c r="G3" s="89">
        <f>H3</f>
        <v>2620</v>
      </c>
      <c r="H3" s="89">
        <v>2620</v>
      </c>
      <c r="I3" s="94"/>
    </row>
    <row r="4" spans="1:10" s="59" customFormat="1" ht="38.25" x14ac:dyDescent="0.2">
      <c r="A4" s="51">
        <v>3</v>
      </c>
      <c r="B4" s="51">
        <v>5701010030</v>
      </c>
      <c r="C4" s="63" t="s">
        <v>560</v>
      </c>
      <c r="D4" s="51">
        <v>1</v>
      </c>
      <c r="E4" s="55">
        <f t="shared" si="0"/>
        <v>975555</v>
      </c>
      <c r="F4" s="56">
        <f t="shared" si="1"/>
        <v>975555</v>
      </c>
      <c r="G4" s="89">
        <f>H4</f>
        <v>8150</v>
      </c>
      <c r="H4" s="89">
        <v>8150</v>
      </c>
      <c r="I4" s="94"/>
    </row>
    <row r="5" spans="1:10" ht="12.75" x14ac:dyDescent="0.15">
      <c r="A5" s="51">
        <v>4</v>
      </c>
      <c r="B5" s="337" t="s">
        <v>7</v>
      </c>
      <c r="C5" s="337"/>
      <c r="D5" s="337"/>
      <c r="E5" s="337"/>
      <c r="F5" s="57">
        <f>SUM(F2:F4)</f>
        <v>1989414</v>
      </c>
      <c r="G5" s="90"/>
      <c r="H5" s="46"/>
      <c r="I5" s="47"/>
    </row>
    <row r="6" spans="1:10" ht="12.75" x14ac:dyDescent="0.15">
      <c r="A6" s="51">
        <v>5</v>
      </c>
      <c r="B6" s="337" t="s">
        <v>561</v>
      </c>
      <c r="C6" s="337"/>
      <c r="D6" s="337"/>
      <c r="E6" s="337"/>
      <c r="F6" s="57">
        <f>F5*18%</f>
        <v>358094.51999999996</v>
      </c>
      <c r="G6" s="90"/>
    </row>
    <row r="7" spans="1:10" ht="12.75" x14ac:dyDescent="0.15">
      <c r="A7" s="51">
        <v>6</v>
      </c>
      <c r="B7" s="337" t="s">
        <v>8</v>
      </c>
      <c r="C7" s="337"/>
      <c r="D7" s="337"/>
      <c r="E7" s="337"/>
      <c r="F7" s="57">
        <f>F6+F5</f>
        <v>2347508.52</v>
      </c>
      <c r="G7" s="90"/>
    </row>
    <row r="8" spans="1:10" ht="12.75" x14ac:dyDescent="0.15">
      <c r="A8" s="344"/>
      <c r="B8" s="345"/>
      <c r="C8" s="345"/>
      <c r="D8" s="345"/>
      <c r="E8" s="345"/>
      <c r="F8" s="346"/>
      <c r="G8" s="91"/>
    </row>
    <row r="9" spans="1:10" ht="140.25" x14ac:dyDescent="0.15">
      <c r="A9" s="58" t="s">
        <v>9</v>
      </c>
      <c r="B9" s="335" t="s">
        <v>557</v>
      </c>
      <c r="C9" s="335"/>
      <c r="D9" s="335"/>
      <c r="E9" s="335"/>
      <c r="F9" s="336"/>
      <c r="G9" s="88"/>
    </row>
    <row r="10" spans="1:10" ht="12.75" x14ac:dyDescent="0.2">
      <c r="A10" s="59"/>
      <c r="B10" s="59"/>
      <c r="C10" s="59"/>
      <c r="D10" s="59"/>
      <c r="E10" s="59"/>
      <c r="F10" s="59"/>
      <c r="G10" s="92"/>
    </row>
    <row r="11" spans="1:10" ht="12.75" x14ac:dyDescent="0.2">
      <c r="A11" s="59"/>
      <c r="B11" s="59"/>
      <c r="C11" s="59"/>
      <c r="D11" s="59"/>
      <c r="E11" s="59"/>
      <c r="F11" s="59"/>
      <c r="G11" s="92"/>
    </row>
    <row r="12" spans="1:10" ht="12.75" x14ac:dyDescent="0.2">
      <c r="A12" s="59"/>
      <c r="B12" s="59"/>
      <c r="C12" s="59"/>
      <c r="D12" s="59"/>
      <c r="E12" s="59"/>
      <c r="F12" s="59"/>
      <c r="G12" s="92"/>
    </row>
    <row r="13" spans="1:10" ht="12.75" x14ac:dyDescent="0.2">
      <c r="A13" s="59"/>
      <c r="B13" s="59"/>
      <c r="C13" s="59"/>
      <c r="D13" s="59"/>
      <c r="E13" s="59"/>
      <c r="F13" s="59"/>
      <c r="G13" s="92"/>
    </row>
    <row r="14" spans="1:10" ht="12.75" x14ac:dyDescent="0.2">
      <c r="A14" s="59"/>
      <c r="B14" s="59"/>
      <c r="C14" s="59"/>
      <c r="D14" s="59"/>
      <c r="E14" s="59"/>
      <c r="F14" s="59"/>
      <c r="G14" s="92"/>
    </row>
    <row r="15" spans="1:10" ht="12.75" x14ac:dyDescent="0.2">
      <c r="A15" s="59"/>
      <c r="B15" s="59"/>
      <c r="C15" s="59"/>
      <c r="D15" s="59"/>
      <c r="E15" s="59"/>
      <c r="F15" s="59"/>
      <c r="G15" s="92"/>
    </row>
    <row r="16" spans="1:10" s="1" customFormat="1" ht="12.75" x14ac:dyDescent="0.2">
      <c r="A16" s="59"/>
      <c r="B16" s="59"/>
      <c r="C16" s="59"/>
      <c r="D16" s="59"/>
      <c r="E16" s="59"/>
      <c r="F16" s="59"/>
      <c r="G16" s="92"/>
      <c r="I16" s="4"/>
    </row>
  </sheetData>
  <mergeCells count="5">
    <mergeCell ref="B5:E5"/>
    <mergeCell ref="B6:E6"/>
    <mergeCell ref="B7:E7"/>
    <mergeCell ref="A8:F8"/>
    <mergeCell ref="B9:F9"/>
  </mergeCells>
  <printOptions horizontalCentered="1"/>
  <pageMargins left="0.25" right="0.25" top="0.5" bottom="0.5" header="0.3" footer="0.05"/>
  <pageSetup orientation="landscape" horizontalDpi="4294967292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A1:K49"/>
  <sheetViews>
    <sheetView view="pageBreakPreview" topLeftCell="A19" zoomScaleSheetLayoutView="100" workbookViewId="0">
      <selection activeCell="B42" sqref="B42:G42"/>
    </sheetView>
  </sheetViews>
  <sheetFormatPr defaultColWidth="9.140625" defaultRowHeight="11.25" x14ac:dyDescent="0.15"/>
  <cols>
    <col min="1" max="1" width="5.85546875" style="4" bestFit="1" customWidth="1"/>
    <col min="2" max="2" width="10.5703125" style="4" bestFit="1" customWidth="1"/>
    <col min="3" max="3" width="50.42578125" style="4" customWidth="1"/>
    <col min="4" max="4" width="15.85546875" style="4" customWidth="1"/>
    <col min="5" max="5" width="6.28515625" style="4" bestFit="1" customWidth="1"/>
    <col min="6" max="6" width="11.5703125" style="4" bestFit="1" customWidth="1"/>
    <col min="7" max="7" width="17.28515625" style="4" bestFit="1" customWidth="1"/>
    <col min="8" max="8" width="16.5703125" style="93" customWidth="1"/>
    <col min="9" max="9" width="9.140625" style="1"/>
    <col min="10" max="10" width="13.28515625" style="4" bestFit="1" customWidth="1"/>
    <col min="11" max="16384" width="9.140625" style="4"/>
  </cols>
  <sheetData>
    <row r="1" spans="1:11" ht="25.5" x14ac:dyDescent="0.15">
      <c r="A1" s="95" t="s">
        <v>0</v>
      </c>
      <c r="B1" s="96" t="s">
        <v>547</v>
      </c>
      <c r="C1" s="96" t="s">
        <v>2</v>
      </c>
      <c r="D1" s="96" t="s">
        <v>556</v>
      </c>
      <c r="E1" s="96" t="s">
        <v>13</v>
      </c>
      <c r="F1" s="97" t="s">
        <v>11</v>
      </c>
      <c r="G1" s="97" t="s">
        <v>12</v>
      </c>
      <c r="H1" s="50" t="s">
        <v>17</v>
      </c>
      <c r="I1" s="40" t="s">
        <v>347</v>
      </c>
      <c r="J1" s="42" t="s">
        <v>609</v>
      </c>
      <c r="K1" s="4" t="s">
        <v>258</v>
      </c>
    </row>
    <row r="2" spans="1:11" s="59" customFormat="1" ht="12.75" x14ac:dyDescent="0.2">
      <c r="A2" s="51">
        <v>1</v>
      </c>
      <c r="B2" s="51"/>
      <c r="C2" s="63" t="s">
        <v>612</v>
      </c>
      <c r="D2" s="54" t="s">
        <v>613</v>
      </c>
      <c r="E2" s="51">
        <v>1</v>
      </c>
      <c r="F2" s="55">
        <f>H2*85*1.3</f>
        <v>7060950</v>
      </c>
      <c r="G2" s="56">
        <f t="shared" ref="G2:G37" si="0">F2*E2</f>
        <v>7060950</v>
      </c>
      <c r="H2" s="89">
        <f>I2</f>
        <v>63900</v>
      </c>
      <c r="I2" s="89">
        <v>63900</v>
      </c>
      <c r="J2" s="94"/>
    </row>
    <row r="3" spans="1:11" s="59" customFormat="1" ht="12.75" x14ac:dyDescent="0.2">
      <c r="A3" s="51">
        <v>2</v>
      </c>
      <c r="B3" s="51">
        <v>4</v>
      </c>
      <c r="C3" s="63" t="s">
        <v>562</v>
      </c>
      <c r="D3" s="54"/>
      <c r="E3" s="51">
        <v>1</v>
      </c>
      <c r="F3" s="55">
        <f t="shared" ref="F3" si="1">H3*90*1.33</f>
        <v>15082.2</v>
      </c>
      <c r="G3" s="56">
        <f t="shared" ref="G3" si="2">F3*E3</f>
        <v>15082.2</v>
      </c>
      <c r="H3" s="89">
        <f t="shared" ref="H3:H37" si="3">I3*1.05</f>
        <v>126</v>
      </c>
      <c r="I3" s="89">
        <v>120</v>
      </c>
      <c r="J3" s="94"/>
    </row>
    <row r="4" spans="1:11" s="59" customFormat="1" ht="12.75" x14ac:dyDescent="0.2">
      <c r="A4" s="51">
        <v>3</v>
      </c>
      <c r="B4" s="51">
        <v>5</v>
      </c>
      <c r="C4" s="63" t="s">
        <v>563</v>
      </c>
      <c r="D4" s="54" t="s">
        <v>564</v>
      </c>
      <c r="E4" s="51">
        <v>1</v>
      </c>
      <c r="F4" s="55">
        <f t="shared" ref="F4" si="4">H4*90*1.33</f>
        <v>20109.600000000002</v>
      </c>
      <c r="G4" s="56">
        <f t="shared" si="0"/>
        <v>20109.600000000002</v>
      </c>
      <c r="H4" s="89">
        <f t="shared" si="3"/>
        <v>168</v>
      </c>
      <c r="I4" s="89">
        <v>160</v>
      </c>
      <c r="J4" s="94"/>
    </row>
    <row r="5" spans="1:11" s="59" customFormat="1" ht="12.75" x14ac:dyDescent="0.2">
      <c r="A5" s="51">
        <v>4</v>
      </c>
      <c r="B5" s="51">
        <v>6</v>
      </c>
      <c r="C5" s="63" t="s">
        <v>538</v>
      </c>
      <c r="D5" s="54" t="s">
        <v>548</v>
      </c>
      <c r="E5" s="51">
        <v>1</v>
      </c>
      <c r="F5" s="55">
        <f>H5*90*1.33</f>
        <v>54672.975000000006</v>
      </c>
      <c r="G5" s="56">
        <f t="shared" si="0"/>
        <v>54672.975000000006</v>
      </c>
      <c r="H5" s="89">
        <f t="shared" si="3"/>
        <v>456.75</v>
      </c>
      <c r="I5" s="89">
        <v>435</v>
      </c>
      <c r="J5" s="94"/>
    </row>
    <row r="6" spans="1:11" s="59" customFormat="1" ht="12.75" x14ac:dyDescent="0.2">
      <c r="A6" s="51">
        <v>5</v>
      </c>
      <c r="B6" s="51">
        <v>7</v>
      </c>
      <c r="C6" s="63" t="s">
        <v>565</v>
      </c>
      <c r="D6" s="54" t="s">
        <v>566</v>
      </c>
      <c r="E6" s="51">
        <v>2</v>
      </c>
      <c r="F6" s="55">
        <f t="shared" ref="F6:F37" si="5">H6*90*1.33</f>
        <v>85465.8</v>
      </c>
      <c r="G6" s="56">
        <f t="shared" si="0"/>
        <v>170931.6</v>
      </c>
      <c r="H6" s="89">
        <f t="shared" si="3"/>
        <v>714</v>
      </c>
      <c r="I6" s="89">
        <v>680</v>
      </c>
      <c r="J6" s="94">
        <v>660</v>
      </c>
    </row>
    <row r="7" spans="1:11" s="59" customFormat="1" ht="12.75" x14ac:dyDescent="0.2">
      <c r="A7" s="51">
        <v>6</v>
      </c>
      <c r="B7" s="51">
        <v>8</v>
      </c>
      <c r="C7" s="63" t="s">
        <v>539</v>
      </c>
      <c r="D7" s="54" t="s">
        <v>549</v>
      </c>
      <c r="E7" s="51">
        <v>1</v>
      </c>
      <c r="F7" s="55">
        <f t="shared" si="5"/>
        <v>92378.475000000006</v>
      </c>
      <c r="G7" s="56">
        <f t="shared" si="0"/>
        <v>92378.475000000006</v>
      </c>
      <c r="H7" s="89">
        <f t="shared" si="3"/>
        <v>771.75</v>
      </c>
      <c r="I7" s="89">
        <v>735</v>
      </c>
      <c r="J7" s="94"/>
    </row>
    <row r="8" spans="1:11" s="59" customFormat="1" ht="12.75" x14ac:dyDescent="0.2">
      <c r="A8" s="51">
        <v>7</v>
      </c>
      <c r="B8" s="51">
        <v>9</v>
      </c>
      <c r="C8" s="63" t="s">
        <v>567</v>
      </c>
      <c r="D8" s="54" t="s">
        <v>568</v>
      </c>
      <c r="E8" s="51">
        <v>2</v>
      </c>
      <c r="F8" s="55">
        <f t="shared" si="5"/>
        <v>11311.650000000001</v>
      </c>
      <c r="G8" s="56">
        <f t="shared" si="0"/>
        <v>22623.300000000003</v>
      </c>
      <c r="H8" s="89">
        <f t="shared" si="3"/>
        <v>94.5</v>
      </c>
      <c r="I8" s="89">
        <v>90</v>
      </c>
      <c r="J8" s="94">
        <v>90</v>
      </c>
    </row>
    <row r="9" spans="1:11" s="59" customFormat="1" ht="12.75" x14ac:dyDescent="0.2">
      <c r="A9" s="51">
        <v>8</v>
      </c>
      <c r="B9" s="51">
        <v>10</v>
      </c>
      <c r="C9" s="63" t="s">
        <v>610</v>
      </c>
      <c r="D9" s="54" t="s">
        <v>611</v>
      </c>
      <c r="E9" s="51">
        <v>1</v>
      </c>
      <c r="F9" s="55">
        <f t="shared" si="5"/>
        <v>145794.6</v>
      </c>
      <c r="G9" s="56">
        <f t="shared" si="0"/>
        <v>145794.6</v>
      </c>
      <c r="H9" s="89">
        <f t="shared" si="3"/>
        <v>1218</v>
      </c>
      <c r="I9" s="89">
        <v>1160</v>
      </c>
      <c r="J9" s="94">
        <v>1200</v>
      </c>
    </row>
    <row r="10" spans="1:11" s="59" customFormat="1" ht="12.75" x14ac:dyDescent="0.2">
      <c r="A10" s="51">
        <v>9</v>
      </c>
      <c r="B10" s="51">
        <v>11</v>
      </c>
      <c r="C10" s="63" t="s">
        <v>540</v>
      </c>
      <c r="D10" s="54" t="s">
        <v>550</v>
      </c>
      <c r="E10" s="51">
        <v>1</v>
      </c>
      <c r="F10" s="55">
        <f t="shared" si="5"/>
        <v>399678.30000000005</v>
      </c>
      <c r="G10" s="56">
        <f t="shared" si="0"/>
        <v>399678.30000000005</v>
      </c>
      <c r="H10" s="89">
        <f t="shared" si="3"/>
        <v>3339</v>
      </c>
      <c r="I10" s="89">
        <v>3180</v>
      </c>
      <c r="J10" s="94"/>
    </row>
    <row r="11" spans="1:11" s="59" customFormat="1" ht="12.75" x14ac:dyDescent="0.2">
      <c r="A11" s="51">
        <v>10</v>
      </c>
      <c r="B11" s="51">
        <v>12</v>
      </c>
      <c r="C11" s="63" t="s">
        <v>541</v>
      </c>
      <c r="D11" s="54"/>
      <c r="E11" s="51">
        <v>1</v>
      </c>
      <c r="F11" s="55">
        <f t="shared" si="5"/>
        <v>42104.475000000006</v>
      </c>
      <c r="G11" s="56">
        <f t="shared" si="0"/>
        <v>42104.475000000006</v>
      </c>
      <c r="H11" s="89">
        <f t="shared" si="3"/>
        <v>351.75</v>
      </c>
      <c r="I11" s="89">
        <v>335</v>
      </c>
      <c r="J11" s="94"/>
    </row>
    <row r="12" spans="1:11" s="59" customFormat="1" ht="12.75" x14ac:dyDescent="0.2">
      <c r="A12" s="51">
        <v>11</v>
      </c>
      <c r="B12" s="51">
        <v>14</v>
      </c>
      <c r="C12" s="63" t="s">
        <v>542</v>
      </c>
      <c r="D12" s="54" t="s">
        <v>551</v>
      </c>
      <c r="E12" s="51">
        <v>1</v>
      </c>
      <c r="F12" s="55">
        <f t="shared" si="5"/>
        <v>36448.65</v>
      </c>
      <c r="G12" s="56">
        <f t="shared" si="0"/>
        <v>36448.65</v>
      </c>
      <c r="H12" s="89">
        <f t="shared" si="3"/>
        <v>304.5</v>
      </c>
      <c r="I12" s="89">
        <v>290</v>
      </c>
      <c r="J12" s="94"/>
    </row>
    <row r="13" spans="1:11" s="59" customFormat="1" ht="12.75" x14ac:dyDescent="0.2">
      <c r="A13" s="51">
        <v>12</v>
      </c>
      <c r="B13" s="51">
        <v>1</v>
      </c>
      <c r="C13" s="63" t="s">
        <v>569</v>
      </c>
      <c r="D13" s="54" t="s">
        <v>570</v>
      </c>
      <c r="E13" s="51">
        <v>1</v>
      </c>
      <c r="F13" s="55">
        <f>H13*85*1.3</f>
        <v>1044225</v>
      </c>
      <c r="G13" s="56">
        <f t="shared" si="0"/>
        <v>1044225</v>
      </c>
      <c r="H13" s="89">
        <f t="shared" si="3"/>
        <v>9450</v>
      </c>
      <c r="I13" s="89">
        <v>9000</v>
      </c>
      <c r="J13" s="94"/>
    </row>
    <row r="14" spans="1:11" s="59" customFormat="1" ht="12.75" x14ac:dyDescent="0.2">
      <c r="A14" s="51">
        <v>13</v>
      </c>
      <c r="B14" s="51">
        <v>2</v>
      </c>
      <c r="C14" s="63" t="s">
        <v>571</v>
      </c>
      <c r="D14" s="54" t="s">
        <v>572</v>
      </c>
      <c r="E14" s="51">
        <v>4</v>
      </c>
      <c r="F14" s="55">
        <f t="shared" si="5"/>
        <v>6912.6750000000002</v>
      </c>
      <c r="G14" s="56">
        <f t="shared" si="0"/>
        <v>27650.7</v>
      </c>
      <c r="H14" s="89">
        <f t="shared" si="3"/>
        <v>57.75</v>
      </c>
      <c r="I14" s="89">
        <v>55</v>
      </c>
      <c r="J14" s="94">
        <v>60</v>
      </c>
    </row>
    <row r="15" spans="1:11" s="59" customFormat="1" ht="12.75" x14ac:dyDescent="0.2">
      <c r="A15" s="51">
        <v>14</v>
      </c>
      <c r="B15" s="51">
        <v>3</v>
      </c>
      <c r="C15" s="63" t="s">
        <v>573</v>
      </c>
      <c r="D15" s="54" t="s">
        <v>574</v>
      </c>
      <c r="E15" s="51">
        <v>1</v>
      </c>
      <c r="F15" s="55">
        <f t="shared" si="5"/>
        <v>4398.9750000000004</v>
      </c>
      <c r="G15" s="56">
        <f t="shared" si="0"/>
        <v>4398.9750000000004</v>
      </c>
      <c r="H15" s="89">
        <f t="shared" si="3"/>
        <v>36.75</v>
      </c>
      <c r="I15" s="89">
        <v>35</v>
      </c>
      <c r="J15" s="94"/>
    </row>
    <row r="16" spans="1:11" s="59" customFormat="1" ht="12.75" x14ac:dyDescent="0.2">
      <c r="A16" s="51">
        <v>15</v>
      </c>
      <c r="B16" s="51">
        <v>4</v>
      </c>
      <c r="C16" s="63" t="s">
        <v>575</v>
      </c>
      <c r="D16" s="54" t="s">
        <v>576</v>
      </c>
      <c r="E16" s="51">
        <v>1</v>
      </c>
      <c r="F16" s="55">
        <f t="shared" si="5"/>
        <v>67241.475000000006</v>
      </c>
      <c r="G16" s="56">
        <f t="shared" si="0"/>
        <v>67241.475000000006</v>
      </c>
      <c r="H16" s="89">
        <f t="shared" si="3"/>
        <v>561.75</v>
      </c>
      <c r="I16" s="89">
        <v>535</v>
      </c>
      <c r="J16" s="94">
        <v>520</v>
      </c>
    </row>
    <row r="17" spans="1:10" s="59" customFormat="1" ht="12.75" x14ac:dyDescent="0.2">
      <c r="A17" s="51">
        <v>16</v>
      </c>
      <c r="B17" s="51">
        <v>8</v>
      </c>
      <c r="C17" s="63" t="s">
        <v>577</v>
      </c>
      <c r="D17" s="54" t="s">
        <v>578</v>
      </c>
      <c r="E17" s="51">
        <v>1</v>
      </c>
      <c r="F17" s="55">
        <f t="shared" si="5"/>
        <v>37705.5</v>
      </c>
      <c r="G17" s="56">
        <f t="shared" si="0"/>
        <v>37705.5</v>
      </c>
      <c r="H17" s="89">
        <f t="shared" si="3"/>
        <v>315</v>
      </c>
      <c r="I17" s="89">
        <v>300</v>
      </c>
    </row>
    <row r="18" spans="1:10" s="59" customFormat="1" ht="12.75" x14ac:dyDescent="0.2">
      <c r="A18" s="51">
        <v>17</v>
      </c>
      <c r="B18" s="51">
        <v>29</v>
      </c>
      <c r="C18" s="63" t="s">
        <v>579</v>
      </c>
      <c r="D18" s="54" t="s">
        <v>580</v>
      </c>
      <c r="E18" s="51">
        <v>2</v>
      </c>
      <c r="F18" s="55">
        <f t="shared" si="5"/>
        <v>55929.825000000004</v>
      </c>
      <c r="G18" s="56">
        <f t="shared" si="0"/>
        <v>111859.65000000001</v>
      </c>
      <c r="H18" s="89">
        <f t="shared" si="3"/>
        <v>467.25</v>
      </c>
      <c r="I18" s="89">
        <v>445</v>
      </c>
      <c r="J18" s="94">
        <v>680</v>
      </c>
    </row>
    <row r="19" spans="1:10" s="59" customFormat="1" ht="12.75" x14ac:dyDescent="0.2">
      <c r="A19" s="51">
        <v>18</v>
      </c>
      <c r="B19" s="51">
        <v>30</v>
      </c>
      <c r="C19" s="63" t="s">
        <v>581</v>
      </c>
      <c r="D19" s="54" t="s">
        <v>582</v>
      </c>
      <c r="E19" s="51">
        <v>2</v>
      </c>
      <c r="F19" s="55">
        <f t="shared" si="5"/>
        <v>35191.800000000003</v>
      </c>
      <c r="G19" s="56">
        <f t="shared" si="0"/>
        <v>70383.600000000006</v>
      </c>
      <c r="H19" s="89">
        <f t="shared" si="3"/>
        <v>294</v>
      </c>
      <c r="I19" s="89">
        <v>280</v>
      </c>
      <c r="J19" s="94">
        <v>300</v>
      </c>
    </row>
    <row r="20" spans="1:10" s="59" customFormat="1" ht="12.75" x14ac:dyDescent="0.2">
      <c r="A20" s="51">
        <v>19</v>
      </c>
      <c r="B20" s="51">
        <v>34</v>
      </c>
      <c r="C20" s="63" t="s">
        <v>543</v>
      </c>
      <c r="D20" s="54" t="s">
        <v>552</v>
      </c>
      <c r="E20" s="51">
        <v>1</v>
      </c>
      <c r="F20" s="55">
        <f t="shared" si="5"/>
        <v>145794.6</v>
      </c>
      <c r="G20" s="56">
        <f t="shared" si="0"/>
        <v>145794.6</v>
      </c>
      <c r="H20" s="89">
        <f t="shared" si="3"/>
        <v>1218</v>
      </c>
      <c r="I20" s="89">
        <v>1160</v>
      </c>
      <c r="J20" s="94"/>
    </row>
    <row r="21" spans="1:10" s="59" customFormat="1" ht="12.75" x14ac:dyDescent="0.2">
      <c r="A21" s="51">
        <v>20</v>
      </c>
      <c r="B21" s="51">
        <v>44</v>
      </c>
      <c r="C21" s="63" t="s">
        <v>583</v>
      </c>
      <c r="D21" s="54" t="s">
        <v>584</v>
      </c>
      <c r="E21" s="51">
        <v>1</v>
      </c>
      <c r="F21" s="55">
        <f t="shared" si="5"/>
        <v>8797.9500000000007</v>
      </c>
      <c r="G21" s="56">
        <f t="shared" si="0"/>
        <v>8797.9500000000007</v>
      </c>
      <c r="H21" s="89">
        <f t="shared" si="3"/>
        <v>73.5</v>
      </c>
      <c r="I21" s="89">
        <v>70</v>
      </c>
      <c r="J21" s="94">
        <v>90</v>
      </c>
    </row>
    <row r="22" spans="1:10" s="59" customFormat="1" ht="12.75" x14ac:dyDescent="0.2">
      <c r="A22" s="51">
        <v>21</v>
      </c>
      <c r="B22" s="51">
        <v>45</v>
      </c>
      <c r="C22" s="63" t="s">
        <v>585</v>
      </c>
      <c r="D22" s="54" t="s">
        <v>586</v>
      </c>
      <c r="E22" s="51">
        <v>1</v>
      </c>
      <c r="F22" s="55">
        <f t="shared" si="5"/>
        <v>25137</v>
      </c>
      <c r="G22" s="56">
        <f t="shared" si="0"/>
        <v>25137</v>
      </c>
      <c r="H22" s="89">
        <f t="shared" si="3"/>
        <v>210</v>
      </c>
      <c r="I22" s="89">
        <v>200</v>
      </c>
      <c r="J22" s="94">
        <v>220</v>
      </c>
    </row>
    <row r="23" spans="1:10" s="59" customFormat="1" ht="12.75" x14ac:dyDescent="0.2">
      <c r="A23" s="51">
        <v>22</v>
      </c>
      <c r="B23" s="51">
        <v>54</v>
      </c>
      <c r="C23" s="63" t="s">
        <v>587</v>
      </c>
      <c r="D23" s="54" t="s">
        <v>588</v>
      </c>
      <c r="E23" s="51">
        <v>1</v>
      </c>
      <c r="F23" s="55">
        <f t="shared" si="5"/>
        <v>20109.600000000002</v>
      </c>
      <c r="G23" s="56">
        <f t="shared" si="0"/>
        <v>20109.600000000002</v>
      </c>
      <c r="H23" s="89">
        <f t="shared" si="3"/>
        <v>168</v>
      </c>
      <c r="I23" s="89">
        <v>160</v>
      </c>
      <c r="J23" s="94">
        <v>220</v>
      </c>
    </row>
    <row r="24" spans="1:10" s="59" customFormat="1" ht="12.75" x14ac:dyDescent="0.2">
      <c r="A24" s="51">
        <v>23</v>
      </c>
      <c r="B24" s="51">
        <v>56</v>
      </c>
      <c r="C24" s="63" t="s">
        <v>589</v>
      </c>
      <c r="D24" s="54" t="s">
        <v>590</v>
      </c>
      <c r="E24" s="51">
        <v>1</v>
      </c>
      <c r="F24" s="55">
        <f t="shared" si="5"/>
        <v>25765.425000000003</v>
      </c>
      <c r="G24" s="56">
        <f t="shared" si="0"/>
        <v>25765.425000000003</v>
      </c>
      <c r="H24" s="89">
        <f t="shared" si="3"/>
        <v>215.25</v>
      </c>
      <c r="I24" s="89">
        <v>205</v>
      </c>
      <c r="J24" s="94">
        <v>200</v>
      </c>
    </row>
    <row r="25" spans="1:10" s="59" customFormat="1" ht="12.75" x14ac:dyDescent="0.2">
      <c r="A25" s="51">
        <v>24</v>
      </c>
      <c r="B25" s="51">
        <v>58</v>
      </c>
      <c r="C25" s="63" t="s">
        <v>591</v>
      </c>
      <c r="D25" s="54" t="s">
        <v>592</v>
      </c>
      <c r="E25" s="51">
        <v>1</v>
      </c>
      <c r="F25" s="55">
        <f t="shared" si="5"/>
        <v>7541.1</v>
      </c>
      <c r="G25" s="56">
        <f t="shared" si="0"/>
        <v>7541.1</v>
      </c>
      <c r="H25" s="89">
        <f t="shared" si="3"/>
        <v>63</v>
      </c>
      <c r="I25" s="89">
        <v>60</v>
      </c>
      <c r="J25" s="94">
        <v>70</v>
      </c>
    </row>
    <row r="26" spans="1:10" s="59" customFormat="1" ht="12.75" x14ac:dyDescent="0.2">
      <c r="A26" s="51">
        <v>25</v>
      </c>
      <c r="B26" s="51">
        <v>59</v>
      </c>
      <c r="C26" s="63" t="s">
        <v>593</v>
      </c>
      <c r="D26" s="54" t="s">
        <v>594</v>
      </c>
      <c r="E26" s="51">
        <v>1</v>
      </c>
      <c r="F26" s="55">
        <f t="shared" si="5"/>
        <v>8797.9500000000007</v>
      </c>
      <c r="G26" s="56">
        <f t="shared" si="0"/>
        <v>8797.9500000000007</v>
      </c>
      <c r="H26" s="89">
        <f t="shared" si="3"/>
        <v>73.5</v>
      </c>
      <c r="I26" s="89">
        <v>70</v>
      </c>
      <c r="J26" s="94">
        <v>60</v>
      </c>
    </row>
    <row r="27" spans="1:10" s="59" customFormat="1" ht="12.75" x14ac:dyDescent="0.2">
      <c r="A27" s="51">
        <v>26</v>
      </c>
      <c r="B27" s="51">
        <v>60</v>
      </c>
      <c r="C27" s="63" t="s">
        <v>595</v>
      </c>
      <c r="D27" s="54" t="s">
        <v>596</v>
      </c>
      <c r="E27" s="51">
        <v>1</v>
      </c>
      <c r="F27" s="55">
        <f t="shared" si="5"/>
        <v>66613.05</v>
      </c>
      <c r="G27" s="56">
        <f t="shared" si="0"/>
        <v>66613.05</v>
      </c>
      <c r="H27" s="89">
        <f t="shared" si="3"/>
        <v>556.5</v>
      </c>
      <c r="I27" s="89">
        <v>530</v>
      </c>
      <c r="J27" s="94"/>
    </row>
    <row r="28" spans="1:10" s="59" customFormat="1" ht="12.75" x14ac:dyDescent="0.2">
      <c r="A28" s="51">
        <v>27</v>
      </c>
      <c r="B28" s="51">
        <v>61</v>
      </c>
      <c r="C28" s="63" t="s">
        <v>593</v>
      </c>
      <c r="D28" s="54" t="s">
        <v>597</v>
      </c>
      <c r="E28" s="51">
        <v>1</v>
      </c>
      <c r="F28" s="55">
        <f t="shared" si="5"/>
        <v>11311.650000000001</v>
      </c>
      <c r="G28" s="56">
        <f t="shared" si="0"/>
        <v>11311.650000000001</v>
      </c>
      <c r="H28" s="89">
        <f t="shared" si="3"/>
        <v>94.5</v>
      </c>
      <c r="I28" s="89">
        <v>90</v>
      </c>
      <c r="J28" s="94">
        <v>80</v>
      </c>
    </row>
    <row r="29" spans="1:10" s="59" customFormat="1" ht="12.75" x14ac:dyDescent="0.2">
      <c r="A29" s="51">
        <v>28</v>
      </c>
      <c r="B29" s="51">
        <v>62</v>
      </c>
      <c r="C29" s="63" t="s">
        <v>598</v>
      </c>
      <c r="D29" s="54" t="s">
        <v>599</v>
      </c>
      <c r="E29" s="51">
        <v>1</v>
      </c>
      <c r="F29" s="55">
        <f t="shared" si="5"/>
        <v>18224.325000000001</v>
      </c>
      <c r="G29" s="56">
        <f t="shared" si="0"/>
        <v>18224.325000000001</v>
      </c>
      <c r="H29" s="89">
        <f t="shared" si="3"/>
        <v>152.25</v>
      </c>
      <c r="I29" s="89">
        <v>145</v>
      </c>
      <c r="J29" s="94">
        <v>160</v>
      </c>
    </row>
    <row r="30" spans="1:10" s="59" customFormat="1" ht="12.75" x14ac:dyDescent="0.2">
      <c r="A30" s="51">
        <v>29</v>
      </c>
      <c r="B30" s="51">
        <v>64</v>
      </c>
      <c r="C30" s="63" t="s">
        <v>600</v>
      </c>
      <c r="D30" s="54" t="s">
        <v>601</v>
      </c>
      <c r="E30" s="51">
        <v>1</v>
      </c>
      <c r="F30" s="55">
        <f t="shared" si="5"/>
        <v>36448.65</v>
      </c>
      <c r="G30" s="56">
        <f t="shared" si="0"/>
        <v>36448.65</v>
      </c>
      <c r="H30" s="89">
        <f t="shared" si="3"/>
        <v>304.5</v>
      </c>
      <c r="I30" s="89">
        <v>290</v>
      </c>
      <c r="J30" s="94">
        <v>280</v>
      </c>
    </row>
    <row r="31" spans="1:10" s="59" customFormat="1" ht="12.75" x14ac:dyDescent="0.2">
      <c r="A31" s="51">
        <v>30</v>
      </c>
      <c r="B31" s="51">
        <v>70</v>
      </c>
      <c r="C31" s="63" t="s">
        <v>602</v>
      </c>
      <c r="D31" s="54" t="s">
        <v>603</v>
      </c>
      <c r="E31" s="51">
        <v>1</v>
      </c>
      <c r="F31" s="55">
        <f t="shared" si="5"/>
        <v>8169.5250000000005</v>
      </c>
      <c r="G31" s="56">
        <f t="shared" si="0"/>
        <v>8169.5250000000005</v>
      </c>
      <c r="H31" s="89">
        <f t="shared" si="3"/>
        <v>68.25</v>
      </c>
      <c r="I31" s="89">
        <v>65</v>
      </c>
      <c r="J31" s="94">
        <v>60</v>
      </c>
    </row>
    <row r="32" spans="1:10" s="59" customFormat="1" ht="12.75" x14ac:dyDescent="0.2">
      <c r="A32" s="51">
        <v>31</v>
      </c>
      <c r="B32" s="51">
        <v>77</v>
      </c>
      <c r="C32" s="63" t="s">
        <v>604</v>
      </c>
      <c r="D32" s="54" t="s">
        <v>605</v>
      </c>
      <c r="E32" s="51">
        <v>1</v>
      </c>
      <c r="F32" s="55">
        <f t="shared" si="5"/>
        <v>5027.4000000000005</v>
      </c>
      <c r="G32" s="56">
        <f t="shared" si="0"/>
        <v>5027.4000000000005</v>
      </c>
      <c r="H32" s="89">
        <f t="shared" si="3"/>
        <v>42</v>
      </c>
      <c r="I32" s="89">
        <v>40</v>
      </c>
      <c r="J32" s="94">
        <v>40</v>
      </c>
    </row>
    <row r="33" spans="1:10" s="59" customFormat="1" ht="12.75" x14ac:dyDescent="0.2">
      <c r="A33" s="51">
        <v>32</v>
      </c>
      <c r="B33" s="51">
        <v>78</v>
      </c>
      <c r="C33" s="63" t="s">
        <v>593</v>
      </c>
      <c r="D33" s="54" t="s">
        <v>606</v>
      </c>
      <c r="E33" s="51">
        <v>1</v>
      </c>
      <c r="F33" s="55">
        <f t="shared" si="5"/>
        <v>1256.8500000000001</v>
      </c>
      <c r="G33" s="56">
        <f t="shared" si="0"/>
        <v>1256.8500000000001</v>
      </c>
      <c r="H33" s="89">
        <f t="shared" si="3"/>
        <v>10.5</v>
      </c>
      <c r="I33" s="89">
        <v>10</v>
      </c>
      <c r="J33" s="94"/>
    </row>
    <row r="34" spans="1:10" s="59" customFormat="1" ht="12.75" x14ac:dyDescent="0.2">
      <c r="A34" s="51">
        <v>33</v>
      </c>
      <c r="B34" s="51">
        <v>79</v>
      </c>
      <c r="C34" s="63" t="s">
        <v>544</v>
      </c>
      <c r="D34" s="54" t="s">
        <v>553</v>
      </c>
      <c r="E34" s="51">
        <v>2</v>
      </c>
      <c r="F34" s="55">
        <f t="shared" si="5"/>
        <v>8797.9500000000007</v>
      </c>
      <c r="G34" s="56">
        <f t="shared" si="0"/>
        <v>17595.900000000001</v>
      </c>
      <c r="H34" s="89">
        <f t="shared" si="3"/>
        <v>73.5</v>
      </c>
      <c r="I34" s="89">
        <v>70</v>
      </c>
      <c r="J34" s="94"/>
    </row>
    <row r="35" spans="1:10" s="59" customFormat="1" ht="12.75" x14ac:dyDescent="0.2">
      <c r="A35" s="51">
        <v>34</v>
      </c>
      <c r="B35" s="51">
        <v>88</v>
      </c>
      <c r="C35" s="63" t="s">
        <v>607</v>
      </c>
      <c r="D35" s="54" t="s">
        <v>608</v>
      </c>
      <c r="E35" s="51">
        <v>1</v>
      </c>
      <c r="F35" s="55">
        <f t="shared" si="5"/>
        <v>8797.9500000000007</v>
      </c>
      <c r="G35" s="56">
        <f t="shared" si="0"/>
        <v>8797.9500000000007</v>
      </c>
      <c r="H35" s="89">
        <f t="shared" si="3"/>
        <v>73.5</v>
      </c>
      <c r="I35" s="89">
        <v>70</v>
      </c>
      <c r="J35" s="94">
        <v>90</v>
      </c>
    </row>
    <row r="36" spans="1:10" s="59" customFormat="1" ht="12.75" x14ac:dyDescent="0.2">
      <c r="A36" s="51">
        <v>35</v>
      </c>
      <c r="B36" s="51">
        <v>91</v>
      </c>
      <c r="C36" s="63" t="s">
        <v>545</v>
      </c>
      <c r="D36" s="54" t="s">
        <v>554</v>
      </c>
      <c r="E36" s="51">
        <v>1</v>
      </c>
      <c r="F36" s="55">
        <f t="shared" si="5"/>
        <v>167161.05000000002</v>
      </c>
      <c r="G36" s="56">
        <f t="shared" si="0"/>
        <v>167161.05000000002</v>
      </c>
      <c r="H36" s="89">
        <f t="shared" si="3"/>
        <v>1396.5</v>
      </c>
      <c r="I36" s="89">
        <v>1330</v>
      </c>
      <c r="J36" s="94"/>
    </row>
    <row r="37" spans="1:10" s="59" customFormat="1" ht="12.75" x14ac:dyDescent="0.2">
      <c r="A37" s="51">
        <v>36</v>
      </c>
      <c r="B37" s="51">
        <v>92</v>
      </c>
      <c r="C37" s="63" t="s">
        <v>546</v>
      </c>
      <c r="D37" s="54" t="s">
        <v>555</v>
      </c>
      <c r="E37" s="51">
        <v>2</v>
      </c>
      <c r="F37" s="55">
        <f t="shared" si="5"/>
        <v>6284.25</v>
      </c>
      <c r="G37" s="56">
        <f t="shared" si="0"/>
        <v>12568.5</v>
      </c>
      <c r="H37" s="89">
        <f t="shared" si="3"/>
        <v>52.5</v>
      </c>
      <c r="I37" s="89">
        <v>50</v>
      </c>
      <c r="J37" s="94"/>
    </row>
    <row r="38" spans="1:10" ht="12.75" x14ac:dyDescent="0.15">
      <c r="A38" s="51">
        <v>37</v>
      </c>
      <c r="B38" s="337" t="s">
        <v>7</v>
      </c>
      <c r="C38" s="337"/>
      <c r="D38" s="337"/>
      <c r="E38" s="337"/>
      <c r="F38" s="337"/>
      <c r="G38" s="57">
        <f>SUM(G2:G37)</f>
        <v>10019357.549999995</v>
      </c>
      <c r="H38" s="90"/>
      <c r="I38" s="46"/>
      <c r="J38" s="47"/>
    </row>
    <row r="39" spans="1:10" ht="12.75" x14ac:dyDescent="0.15">
      <c r="A39" s="51">
        <v>38</v>
      </c>
      <c r="B39" s="337" t="s">
        <v>186</v>
      </c>
      <c r="C39" s="337"/>
      <c r="D39" s="337"/>
      <c r="E39" s="337"/>
      <c r="F39" s="337"/>
      <c r="G39" s="57">
        <f>G38*18%</f>
        <v>1803484.358999999</v>
      </c>
      <c r="H39" s="90"/>
    </row>
    <row r="40" spans="1:10" ht="12.75" x14ac:dyDescent="0.15">
      <c r="A40" s="51">
        <v>39</v>
      </c>
      <c r="B40" s="337" t="s">
        <v>8</v>
      </c>
      <c r="C40" s="337"/>
      <c r="D40" s="337"/>
      <c r="E40" s="337"/>
      <c r="F40" s="337"/>
      <c r="G40" s="57">
        <f>G39+G38</f>
        <v>11822841.908999994</v>
      </c>
      <c r="H40" s="90"/>
    </row>
    <row r="41" spans="1:10" ht="12.75" x14ac:dyDescent="0.15">
      <c r="A41" s="344"/>
      <c r="B41" s="345"/>
      <c r="C41" s="345"/>
      <c r="D41" s="345"/>
      <c r="E41" s="345"/>
      <c r="F41" s="345"/>
      <c r="G41" s="346"/>
      <c r="H41" s="91"/>
    </row>
    <row r="42" spans="1:10" ht="140.25" x14ac:dyDescent="0.15">
      <c r="A42" s="58" t="s">
        <v>9</v>
      </c>
      <c r="B42" s="335" t="s">
        <v>231</v>
      </c>
      <c r="C42" s="335"/>
      <c r="D42" s="335"/>
      <c r="E42" s="335"/>
      <c r="F42" s="335"/>
      <c r="G42" s="336"/>
      <c r="H42" s="88"/>
    </row>
    <row r="43" spans="1:10" ht="12.75" x14ac:dyDescent="0.2">
      <c r="A43" s="59"/>
      <c r="B43" s="59"/>
      <c r="C43" s="59"/>
      <c r="D43" s="59"/>
      <c r="E43" s="59"/>
      <c r="F43" s="59"/>
      <c r="G43" s="59"/>
      <c r="H43" s="92"/>
    </row>
    <row r="44" spans="1:10" ht="12.75" x14ac:dyDescent="0.2">
      <c r="A44" s="59"/>
      <c r="B44" s="59"/>
      <c r="C44" s="59"/>
      <c r="D44" s="59"/>
      <c r="E44" s="59"/>
      <c r="F44" s="59"/>
      <c r="G44" s="59"/>
      <c r="H44" s="92"/>
    </row>
    <row r="45" spans="1:10" ht="12.75" x14ac:dyDescent="0.2">
      <c r="A45" s="59"/>
      <c r="B45" s="59"/>
      <c r="C45" s="59"/>
      <c r="D45" s="59"/>
      <c r="E45" s="59"/>
      <c r="F45" s="59"/>
      <c r="G45" s="59"/>
      <c r="H45" s="92"/>
    </row>
    <row r="46" spans="1:10" ht="12.75" x14ac:dyDescent="0.2">
      <c r="A46" s="59"/>
      <c r="B46" s="59"/>
      <c r="C46" s="59"/>
      <c r="D46" s="59"/>
      <c r="E46" s="59"/>
      <c r="F46" s="59"/>
      <c r="G46" s="59"/>
      <c r="H46" s="92"/>
    </row>
    <row r="47" spans="1:10" ht="12.75" x14ac:dyDescent="0.2">
      <c r="A47" s="59"/>
      <c r="B47" s="59"/>
      <c r="C47" s="59"/>
      <c r="D47" s="59"/>
      <c r="E47" s="59"/>
      <c r="F47" s="59"/>
      <c r="G47" s="59"/>
      <c r="H47" s="92"/>
    </row>
    <row r="48" spans="1:10" ht="12.75" x14ac:dyDescent="0.2">
      <c r="A48" s="59"/>
      <c r="B48" s="59"/>
      <c r="C48" s="59"/>
      <c r="D48" s="59"/>
      <c r="E48" s="59"/>
      <c r="F48" s="59"/>
      <c r="G48" s="59"/>
      <c r="H48" s="92"/>
    </row>
    <row r="49" spans="1:10" s="1" customFormat="1" ht="12.75" x14ac:dyDescent="0.2">
      <c r="A49" s="59"/>
      <c r="B49" s="59"/>
      <c r="C49" s="59"/>
      <c r="D49" s="59"/>
      <c r="E49" s="59"/>
      <c r="F49" s="59"/>
      <c r="G49" s="59"/>
      <c r="H49" s="92"/>
      <c r="J49" s="4"/>
    </row>
  </sheetData>
  <mergeCells count="5">
    <mergeCell ref="B38:F38"/>
    <mergeCell ref="B39:F39"/>
    <mergeCell ref="B40:F40"/>
    <mergeCell ref="A41:G41"/>
    <mergeCell ref="B42:G42"/>
  </mergeCells>
  <printOptions horizontalCentered="1"/>
  <pageMargins left="0.25" right="0.25" top="0.5" bottom="0.5" header="0.3" footer="0.05"/>
  <pageSetup orientation="landscape" horizontalDpi="4294967292"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A1:N17"/>
  <sheetViews>
    <sheetView zoomScaleNormal="100" zoomScaleSheetLayoutView="100" workbookViewId="0">
      <selection activeCell="C6" sqref="C6"/>
    </sheetView>
  </sheetViews>
  <sheetFormatPr defaultColWidth="9.140625" defaultRowHeight="12.75" x14ac:dyDescent="0.2"/>
  <cols>
    <col min="1" max="1" width="5.85546875" style="116" bestFit="1" customWidth="1"/>
    <col min="2" max="2" width="12.42578125" style="116" bestFit="1" customWidth="1"/>
    <col min="3" max="3" width="13.7109375" style="116" customWidth="1"/>
    <col min="4" max="4" width="42.42578125" style="116" customWidth="1"/>
    <col min="5" max="5" width="5" style="116" bestFit="1" customWidth="1"/>
    <col min="6" max="6" width="8.7109375" style="116" customWidth="1"/>
    <col min="7" max="7" width="13.28515625" style="116" bestFit="1" customWidth="1"/>
    <col min="8" max="8" width="16.5703125" style="116" bestFit="1" customWidth="1"/>
    <col min="9" max="9" width="35.140625" style="126" bestFit="1" customWidth="1"/>
    <col min="10" max="10" width="14" style="127" bestFit="1" customWidth="1"/>
    <col min="11" max="11" width="11.42578125" style="77" bestFit="1" customWidth="1"/>
    <col min="12" max="12" width="12.28515625" style="128" bestFit="1" customWidth="1"/>
    <col min="13" max="13" width="9.140625" style="116"/>
    <col min="14" max="14" width="14" style="116" bestFit="1" customWidth="1"/>
    <col min="15" max="16" width="12.42578125" style="116" bestFit="1" customWidth="1"/>
    <col min="17" max="16384" width="9.140625" style="116"/>
  </cols>
  <sheetData>
    <row r="1" spans="1:14" x14ac:dyDescent="0.2">
      <c r="A1" s="115" t="s">
        <v>0</v>
      </c>
      <c r="B1" s="115" t="s">
        <v>1</v>
      </c>
      <c r="C1" s="115" t="s">
        <v>5</v>
      </c>
      <c r="D1" s="115" t="s">
        <v>2</v>
      </c>
      <c r="E1" s="115" t="s">
        <v>3</v>
      </c>
      <c r="F1" s="115" t="s">
        <v>614</v>
      </c>
      <c r="G1" s="115" t="s">
        <v>615</v>
      </c>
      <c r="H1" s="115" t="s">
        <v>616</v>
      </c>
      <c r="I1" s="115" t="s">
        <v>617</v>
      </c>
      <c r="J1" s="115" t="s">
        <v>17</v>
      </c>
      <c r="K1" s="117" t="s">
        <v>110</v>
      </c>
      <c r="L1" s="118"/>
    </row>
    <row r="2" spans="1:14" ht="51" x14ac:dyDescent="0.2">
      <c r="A2" s="119">
        <f>ROW()-1</f>
        <v>1</v>
      </c>
      <c r="B2" s="119">
        <v>100032</v>
      </c>
      <c r="C2" s="119" t="s">
        <v>269</v>
      </c>
      <c r="D2" s="120" t="s">
        <v>618</v>
      </c>
      <c r="E2" s="121" t="s">
        <v>619</v>
      </c>
      <c r="F2" s="121">
        <v>5</v>
      </c>
      <c r="G2" s="122">
        <f t="shared" ref="G2:G12" si="0">88*1.3*J2</f>
        <v>23452</v>
      </c>
      <c r="H2" s="122">
        <f t="shared" ref="H2:H12" si="1">G2*F2</f>
        <v>117260</v>
      </c>
      <c r="I2" s="123" t="s">
        <v>269</v>
      </c>
      <c r="J2" s="117">
        <v>205</v>
      </c>
      <c r="K2" s="117">
        <v>205</v>
      </c>
      <c r="L2" s="118"/>
    </row>
    <row r="3" spans="1:14" ht="51" x14ac:dyDescent="0.2">
      <c r="A3" s="119">
        <f t="shared" ref="A3:A15" si="2">ROW()-1</f>
        <v>2</v>
      </c>
      <c r="B3" s="119">
        <v>100032</v>
      </c>
      <c r="C3" s="119" t="s">
        <v>269</v>
      </c>
      <c r="D3" s="120" t="s">
        <v>620</v>
      </c>
      <c r="E3" s="121" t="s">
        <v>619</v>
      </c>
      <c r="F3" s="121">
        <v>5</v>
      </c>
      <c r="G3" s="122">
        <f t="shared" si="0"/>
        <v>16016</v>
      </c>
      <c r="H3" s="122">
        <f t="shared" si="1"/>
        <v>80080</v>
      </c>
      <c r="I3" s="123" t="s">
        <v>269</v>
      </c>
      <c r="J3" s="117">
        <v>140</v>
      </c>
      <c r="K3" s="117">
        <v>140</v>
      </c>
      <c r="L3" s="118"/>
    </row>
    <row r="4" spans="1:14" ht="63.75" x14ac:dyDescent="0.2">
      <c r="A4" s="119">
        <f t="shared" si="2"/>
        <v>3</v>
      </c>
      <c r="B4" s="119">
        <v>100032</v>
      </c>
      <c r="C4" s="119" t="s">
        <v>269</v>
      </c>
      <c r="D4" s="120" t="s">
        <v>621</v>
      </c>
      <c r="E4" s="121" t="s">
        <v>619</v>
      </c>
      <c r="F4" s="121">
        <v>5</v>
      </c>
      <c r="G4" s="122">
        <f t="shared" si="0"/>
        <v>61776</v>
      </c>
      <c r="H4" s="122">
        <f t="shared" si="1"/>
        <v>308880</v>
      </c>
      <c r="I4" s="123" t="s">
        <v>269</v>
      </c>
      <c r="J4" s="117">
        <v>540</v>
      </c>
      <c r="K4" s="117">
        <v>540</v>
      </c>
      <c r="L4" s="118"/>
    </row>
    <row r="5" spans="1:14" ht="63.75" x14ac:dyDescent="0.2">
      <c r="A5" s="119">
        <f t="shared" si="2"/>
        <v>4</v>
      </c>
      <c r="B5" s="119">
        <v>100032</v>
      </c>
      <c r="C5" s="119" t="s">
        <v>269</v>
      </c>
      <c r="D5" s="120" t="s">
        <v>622</v>
      </c>
      <c r="E5" s="121" t="s">
        <v>619</v>
      </c>
      <c r="F5" s="121">
        <v>5</v>
      </c>
      <c r="G5" s="122">
        <f t="shared" si="0"/>
        <v>122408</v>
      </c>
      <c r="H5" s="122">
        <f t="shared" si="1"/>
        <v>612040</v>
      </c>
      <c r="I5" s="123" t="s">
        <v>269</v>
      </c>
      <c r="J5" s="117">
        <v>1070</v>
      </c>
      <c r="K5" s="117">
        <v>1070</v>
      </c>
      <c r="L5" s="118"/>
    </row>
    <row r="6" spans="1:14" ht="76.5" x14ac:dyDescent="0.2">
      <c r="A6" s="119">
        <f t="shared" si="2"/>
        <v>5</v>
      </c>
      <c r="B6" s="119">
        <v>100033</v>
      </c>
      <c r="C6" s="119" t="s">
        <v>269</v>
      </c>
      <c r="D6" s="120" t="s">
        <v>623</v>
      </c>
      <c r="E6" s="121" t="s">
        <v>619</v>
      </c>
      <c r="F6" s="121">
        <v>5</v>
      </c>
      <c r="G6" s="122">
        <f t="shared" si="0"/>
        <v>55484</v>
      </c>
      <c r="H6" s="122">
        <f t="shared" si="1"/>
        <v>277420</v>
      </c>
      <c r="I6" s="123" t="s">
        <v>269</v>
      </c>
      <c r="J6" s="117">
        <v>485</v>
      </c>
      <c r="K6" s="117">
        <v>485</v>
      </c>
      <c r="L6" s="118"/>
    </row>
    <row r="7" spans="1:14" ht="76.5" x14ac:dyDescent="0.2">
      <c r="A7" s="119">
        <f t="shared" si="2"/>
        <v>6</v>
      </c>
      <c r="B7" s="119">
        <v>100033</v>
      </c>
      <c r="C7" s="119" t="s">
        <v>269</v>
      </c>
      <c r="D7" s="120" t="s">
        <v>624</v>
      </c>
      <c r="E7" s="121" t="s">
        <v>619</v>
      </c>
      <c r="F7" s="121">
        <v>5</v>
      </c>
      <c r="G7" s="122">
        <f t="shared" si="0"/>
        <v>71500</v>
      </c>
      <c r="H7" s="122">
        <f t="shared" si="1"/>
        <v>357500</v>
      </c>
      <c r="I7" s="123" t="s">
        <v>269</v>
      </c>
      <c r="J7" s="117">
        <v>625</v>
      </c>
      <c r="K7" s="117">
        <v>625</v>
      </c>
      <c r="L7" s="118"/>
    </row>
    <row r="8" spans="1:14" ht="63.75" x14ac:dyDescent="0.2">
      <c r="A8" s="119">
        <f t="shared" si="2"/>
        <v>7</v>
      </c>
      <c r="B8" s="119">
        <v>100033</v>
      </c>
      <c r="C8" s="119" t="s">
        <v>269</v>
      </c>
      <c r="D8" s="120" t="s">
        <v>625</v>
      </c>
      <c r="E8" s="121" t="s">
        <v>619</v>
      </c>
      <c r="F8" s="121">
        <v>4</v>
      </c>
      <c r="G8" s="122">
        <f t="shared" si="0"/>
        <v>34320</v>
      </c>
      <c r="H8" s="122">
        <f t="shared" si="1"/>
        <v>137280</v>
      </c>
      <c r="I8" s="123" t="s">
        <v>269</v>
      </c>
      <c r="J8" s="117">
        <v>300</v>
      </c>
      <c r="K8" s="117">
        <v>300</v>
      </c>
      <c r="L8" s="118"/>
    </row>
    <row r="9" spans="1:14" ht="63.75" x14ac:dyDescent="0.2">
      <c r="A9" s="119">
        <f t="shared" si="2"/>
        <v>8</v>
      </c>
      <c r="B9" s="119">
        <v>100033</v>
      </c>
      <c r="C9" s="119" t="s">
        <v>269</v>
      </c>
      <c r="D9" s="120" t="s">
        <v>626</v>
      </c>
      <c r="E9" s="121" t="s">
        <v>619</v>
      </c>
      <c r="F9" s="121">
        <v>4</v>
      </c>
      <c r="G9" s="122">
        <f t="shared" si="0"/>
        <v>44044</v>
      </c>
      <c r="H9" s="122">
        <f t="shared" si="1"/>
        <v>176176</v>
      </c>
      <c r="I9" s="123" t="s">
        <v>269</v>
      </c>
      <c r="J9" s="117">
        <v>385</v>
      </c>
      <c r="K9" s="117">
        <v>385</v>
      </c>
      <c r="L9" s="118"/>
    </row>
    <row r="10" spans="1:14" ht="38.25" x14ac:dyDescent="0.2">
      <c r="A10" s="119">
        <f t="shared" si="2"/>
        <v>9</v>
      </c>
      <c r="B10" s="119">
        <v>100033</v>
      </c>
      <c r="C10" s="119" t="s">
        <v>269</v>
      </c>
      <c r="D10" s="120" t="s">
        <v>627</v>
      </c>
      <c r="E10" s="121" t="s">
        <v>619</v>
      </c>
      <c r="F10" s="121">
        <v>3</v>
      </c>
      <c r="G10" s="122">
        <f t="shared" si="0"/>
        <v>0</v>
      </c>
      <c r="H10" s="122">
        <f t="shared" si="1"/>
        <v>0</v>
      </c>
      <c r="I10" s="124" t="s">
        <v>632</v>
      </c>
      <c r="J10" s="117"/>
      <c r="K10" s="117"/>
      <c r="L10" s="118"/>
    </row>
    <row r="11" spans="1:14" ht="38.25" x14ac:dyDescent="0.2">
      <c r="A11" s="119">
        <f t="shared" si="2"/>
        <v>10</v>
      </c>
      <c r="B11" s="119">
        <v>100033</v>
      </c>
      <c r="C11" s="119" t="s">
        <v>269</v>
      </c>
      <c r="D11" s="120" t="s">
        <v>628</v>
      </c>
      <c r="E11" s="121" t="s">
        <v>619</v>
      </c>
      <c r="F11" s="121">
        <v>3</v>
      </c>
      <c r="G11" s="122">
        <f t="shared" si="0"/>
        <v>0</v>
      </c>
      <c r="H11" s="122">
        <f t="shared" si="1"/>
        <v>0</v>
      </c>
      <c r="I11" s="124" t="s">
        <v>632</v>
      </c>
      <c r="J11" s="117"/>
      <c r="K11" s="117"/>
      <c r="L11" s="118"/>
    </row>
    <row r="12" spans="1:14" ht="63.75" x14ac:dyDescent="0.2">
      <c r="A12" s="119">
        <f t="shared" si="2"/>
        <v>11</v>
      </c>
      <c r="B12" s="119">
        <v>100044</v>
      </c>
      <c r="C12" s="119" t="s">
        <v>269</v>
      </c>
      <c r="D12" s="120" t="s">
        <v>629</v>
      </c>
      <c r="E12" s="121" t="s">
        <v>619</v>
      </c>
      <c r="F12" s="121">
        <v>1</v>
      </c>
      <c r="G12" s="122">
        <f t="shared" si="0"/>
        <v>165880</v>
      </c>
      <c r="H12" s="122">
        <f t="shared" si="1"/>
        <v>165880</v>
      </c>
      <c r="I12" s="123" t="s">
        <v>269</v>
      </c>
      <c r="J12" s="117">
        <v>1450</v>
      </c>
      <c r="K12" s="117">
        <v>1450</v>
      </c>
      <c r="L12" s="118"/>
    </row>
    <row r="13" spans="1:14" s="128" customFormat="1" x14ac:dyDescent="0.2">
      <c r="A13" s="119">
        <f t="shared" si="2"/>
        <v>12</v>
      </c>
      <c r="B13" s="349" t="s">
        <v>7</v>
      </c>
      <c r="C13" s="349"/>
      <c r="D13" s="349"/>
      <c r="E13" s="349"/>
      <c r="F13" s="349"/>
      <c r="G13" s="349"/>
      <c r="H13" s="125">
        <f>SUM(H1:H12)</f>
        <v>2232516</v>
      </c>
      <c r="I13" s="126"/>
      <c r="J13" s="127"/>
      <c r="K13" s="77"/>
    </row>
    <row r="14" spans="1:14" s="128" customFormat="1" x14ac:dyDescent="0.2">
      <c r="A14" s="119">
        <f t="shared" si="2"/>
        <v>13</v>
      </c>
      <c r="B14" s="349" t="s">
        <v>630</v>
      </c>
      <c r="C14" s="349"/>
      <c r="D14" s="349"/>
      <c r="E14" s="349"/>
      <c r="F14" s="349"/>
      <c r="G14" s="349"/>
      <c r="H14" s="125">
        <f>H13*18%</f>
        <v>401852.88</v>
      </c>
      <c r="I14" s="126"/>
      <c r="J14" s="127"/>
      <c r="K14" s="77"/>
    </row>
    <row r="15" spans="1:14" s="128" customFormat="1" x14ac:dyDescent="0.2">
      <c r="A15" s="119">
        <f t="shared" si="2"/>
        <v>14</v>
      </c>
      <c r="B15" s="349" t="s">
        <v>8</v>
      </c>
      <c r="C15" s="349"/>
      <c r="D15" s="349"/>
      <c r="E15" s="349"/>
      <c r="F15" s="349"/>
      <c r="G15" s="349"/>
      <c r="H15" s="125">
        <f>H14+H13</f>
        <v>2634368.88</v>
      </c>
      <c r="I15" s="126"/>
      <c r="J15" s="127"/>
      <c r="K15" s="77"/>
    </row>
    <row r="16" spans="1:14" s="128" customFormat="1" ht="162" customHeight="1" x14ac:dyDescent="0.2">
      <c r="A16" s="129" t="s">
        <v>9</v>
      </c>
      <c r="B16" s="350" t="s">
        <v>631</v>
      </c>
      <c r="C16" s="350"/>
      <c r="D16" s="350"/>
      <c r="E16" s="350"/>
      <c r="F16" s="350"/>
      <c r="G16" s="350"/>
      <c r="H16" s="350"/>
      <c r="I16" s="126"/>
      <c r="J16" s="127"/>
      <c r="K16" s="127"/>
      <c r="N16" s="130"/>
    </row>
    <row r="17" spans="1:1" x14ac:dyDescent="0.2">
      <c r="A17" s="131"/>
    </row>
  </sheetData>
  <mergeCells count="4">
    <mergeCell ref="B13:G13"/>
    <mergeCell ref="B14:G14"/>
    <mergeCell ref="B15:G15"/>
    <mergeCell ref="B16:H16"/>
  </mergeCells>
  <pageMargins left="0.23622047244094491" right="0.23622047244094491" top="0.74803149606299213" bottom="0.74803149606299213" header="0.31496062992125984" footer="0.31496062992125984"/>
  <pageSetup orientation="landscape" horizontalDpi="4294967292" r:id="rId1"/>
  <headerFooter>
    <oddHeader>&amp;LCONFIANCE INDIA&amp;CPR 2020017116 (TG Spare )&amp;R9 NOV 2023</oddHeader>
    <oddFooter>Page &amp;P of &amp;N</oddFooter>
  </headerFooter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A1:M7"/>
  <sheetViews>
    <sheetView zoomScaleNormal="100" zoomScaleSheetLayoutView="100" workbookViewId="0">
      <selection activeCell="D2" sqref="D2"/>
    </sheetView>
  </sheetViews>
  <sheetFormatPr defaultColWidth="9.140625" defaultRowHeight="12.75" x14ac:dyDescent="0.2"/>
  <cols>
    <col min="1" max="1" width="5.85546875" style="116" bestFit="1" customWidth="1"/>
    <col min="2" max="2" width="15.85546875" style="116" customWidth="1"/>
    <col min="3" max="3" width="16.7109375" style="116" customWidth="1"/>
    <col min="4" max="4" width="46.28515625" style="116" customWidth="1"/>
    <col min="5" max="5" width="5" style="116" bestFit="1" customWidth="1"/>
    <col min="6" max="6" width="8.7109375" style="116" customWidth="1"/>
    <col min="7" max="7" width="14.5703125" style="116" customWidth="1"/>
    <col min="8" max="8" width="18.5703125" style="116" customWidth="1"/>
    <col min="9" max="9" width="14" style="127" bestFit="1" customWidth="1"/>
    <col min="10" max="10" width="11.42578125" style="77" bestFit="1" customWidth="1"/>
    <col min="11" max="11" width="12.28515625" style="128" bestFit="1" customWidth="1"/>
    <col min="12" max="12" width="9.140625" style="116"/>
    <col min="13" max="13" width="14" style="116" bestFit="1" customWidth="1"/>
    <col min="14" max="15" width="12.42578125" style="116" bestFit="1" customWidth="1"/>
    <col min="16" max="16384" width="9.140625" style="116"/>
  </cols>
  <sheetData>
    <row r="1" spans="1:13" x14ac:dyDescent="0.2">
      <c r="A1" s="115" t="s">
        <v>0</v>
      </c>
      <c r="B1" s="115" t="s">
        <v>1</v>
      </c>
      <c r="C1" s="115" t="s">
        <v>5</v>
      </c>
      <c r="D1" s="115" t="s">
        <v>2</v>
      </c>
      <c r="E1" s="115" t="s">
        <v>3</v>
      </c>
      <c r="F1" s="115" t="s">
        <v>614</v>
      </c>
      <c r="G1" s="115" t="s">
        <v>615</v>
      </c>
      <c r="H1" s="115" t="s">
        <v>119</v>
      </c>
      <c r="I1" s="115" t="s">
        <v>17</v>
      </c>
      <c r="J1" s="117" t="s">
        <v>10</v>
      </c>
      <c r="K1" s="118"/>
    </row>
    <row r="2" spans="1:13" ht="101.25" customHeight="1" x14ac:dyDescent="0.2">
      <c r="A2" s="119">
        <f>ROW()-1</f>
        <v>1</v>
      </c>
      <c r="B2" s="119" t="s">
        <v>635</v>
      </c>
      <c r="C2" s="119">
        <v>4000013376</v>
      </c>
      <c r="D2" s="120" t="s">
        <v>647</v>
      </c>
      <c r="E2" s="121" t="s">
        <v>634</v>
      </c>
      <c r="F2" s="121">
        <v>1</v>
      </c>
      <c r="G2" s="122">
        <f>88*1.3*I2</f>
        <v>1201200</v>
      </c>
      <c r="H2" s="122">
        <f t="shared" ref="H2" si="0">G2*F2</f>
        <v>1201200</v>
      </c>
      <c r="I2" s="117">
        <v>10500</v>
      </c>
      <c r="J2" s="132" t="s">
        <v>636</v>
      </c>
      <c r="K2" s="118"/>
    </row>
    <row r="3" spans="1:13" s="128" customFormat="1" x14ac:dyDescent="0.2">
      <c r="A3" s="119">
        <f t="shared" ref="A3:A5" si="1">ROW()-1</f>
        <v>2</v>
      </c>
      <c r="B3" s="349" t="s">
        <v>7</v>
      </c>
      <c r="C3" s="349"/>
      <c r="D3" s="349"/>
      <c r="E3" s="349"/>
      <c r="F3" s="349"/>
      <c r="G3" s="349"/>
      <c r="H3" s="125">
        <f>SUM(H1:H2)</f>
        <v>1201200</v>
      </c>
      <c r="I3" s="127"/>
      <c r="J3" s="77"/>
    </row>
    <row r="4" spans="1:13" s="128" customFormat="1" x14ac:dyDescent="0.2">
      <c r="A4" s="119">
        <f t="shared" si="1"/>
        <v>3</v>
      </c>
      <c r="B4" s="349" t="s">
        <v>633</v>
      </c>
      <c r="C4" s="349"/>
      <c r="D4" s="349"/>
      <c r="E4" s="349"/>
      <c r="F4" s="349"/>
      <c r="G4" s="349"/>
      <c r="H4" s="125">
        <f>H3*18%</f>
        <v>216216</v>
      </c>
      <c r="I4" s="127"/>
      <c r="J4" s="77"/>
    </row>
    <row r="5" spans="1:13" s="128" customFormat="1" x14ac:dyDescent="0.2">
      <c r="A5" s="119">
        <f t="shared" si="1"/>
        <v>4</v>
      </c>
      <c r="B5" s="349" t="s">
        <v>8</v>
      </c>
      <c r="C5" s="349"/>
      <c r="D5" s="349"/>
      <c r="E5" s="349"/>
      <c r="F5" s="349"/>
      <c r="G5" s="349"/>
      <c r="H5" s="125">
        <f>H4+H3</f>
        <v>1417416</v>
      </c>
      <c r="I5" s="127"/>
      <c r="J5" s="77"/>
    </row>
    <row r="6" spans="1:13" s="128" customFormat="1" ht="140.25" x14ac:dyDescent="0.2">
      <c r="A6" s="129" t="s">
        <v>9</v>
      </c>
      <c r="B6" s="350" t="s">
        <v>648</v>
      </c>
      <c r="C6" s="350"/>
      <c r="D6" s="350"/>
      <c r="E6" s="350"/>
      <c r="F6" s="350"/>
      <c r="G6" s="350"/>
      <c r="H6" s="350"/>
      <c r="I6" s="127"/>
      <c r="J6" s="127"/>
      <c r="M6" s="130"/>
    </row>
    <row r="7" spans="1:13" x14ac:dyDescent="0.2">
      <c r="A7" s="131"/>
    </row>
  </sheetData>
  <mergeCells count="4">
    <mergeCell ref="B3:G3"/>
    <mergeCell ref="B4:G4"/>
    <mergeCell ref="B5:G5"/>
    <mergeCell ref="B6:H6"/>
  </mergeCells>
  <pageMargins left="0.23622047244094491" right="0.23622047244094491" top="0.74803149606299213" bottom="0.74803149606299213" header="0.31496062992125984" footer="0.31496062992125984"/>
  <pageSetup orientation="landscape" horizontalDpi="4294967292" r:id="rId1"/>
  <headerFooter>
    <oddHeader>&amp;LCONFIANCE INDIA&amp;CPR 2020017116 (TG Spare )&amp;R9 NOV 2023</oddHeader>
    <oddFooter>Page &amp;P of &amp;N</oddFooter>
  </headerFooter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A1:M8"/>
  <sheetViews>
    <sheetView zoomScaleNormal="100" zoomScaleSheetLayoutView="100" workbookViewId="0">
      <selection activeCell="C2" sqref="C2"/>
    </sheetView>
  </sheetViews>
  <sheetFormatPr defaultColWidth="9.140625" defaultRowHeight="12.75" x14ac:dyDescent="0.2"/>
  <cols>
    <col min="1" max="1" width="5.85546875" style="116" bestFit="1" customWidth="1"/>
    <col min="2" max="2" width="15.85546875" style="116" customWidth="1"/>
    <col min="3" max="3" width="16.7109375" style="116" customWidth="1"/>
    <col min="4" max="4" width="46.28515625" style="116" customWidth="1"/>
    <col min="5" max="5" width="5" style="116" bestFit="1" customWidth="1"/>
    <col min="6" max="6" width="8.7109375" style="116" customWidth="1"/>
    <col min="7" max="7" width="14.5703125" style="116" customWidth="1"/>
    <col min="8" max="8" width="18.5703125" style="116" customWidth="1"/>
    <col min="9" max="9" width="14" style="127" bestFit="1" customWidth="1"/>
    <col min="10" max="10" width="11.42578125" style="77" bestFit="1" customWidth="1"/>
    <col min="11" max="11" width="12.28515625" style="128" bestFit="1" customWidth="1"/>
    <col min="12" max="12" width="9.140625" style="116"/>
    <col min="13" max="13" width="14" style="116" bestFit="1" customWidth="1"/>
    <col min="14" max="15" width="12.42578125" style="116" bestFit="1" customWidth="1"/>
    <col min="16" max="16384" width="9.140625" style="116"/>
  </cols>
  <sheetData>
    <row r="1" spans="1:13" x14ac:dyDescent="0.2">
      <c r="A1" s="115" t="s">
        <v>0</v>
      </c>
      <c r="B1" s="115" t="s">
        <v>1</v>
      </c>
      <c r="C1" s="115" t="s">
        <v>5</v>
      </c>
      <c r="D1" s="115" t="s">
        <v>2</v>
      </c>
      <c r="E1" s="115" t="s">
        <v>3</v>
      </c>
      <c r="F1" s="115" t="s">
        <v>614</v>
      </c>
      <c r="G1" s="115" t="s">
        <v>615</v>
      </c>
      <c r="H1" s="115" t="s">
        <v>119</v>
      </c>
      <c r="I1" s="115" t="s">
        <v>17</v>
      </c>
      <c r="J1" s="117" t="s">
        <v>10</v>
      </c>
      <c r="K1" s="118"/>
    </row>
    <row r="2" spans="1:13" ht="38.25" x14ac:dyDescent="0.2">
      <c r="A2" s="119">
        <f>ROW()-1</f>
        <v>1</v>
      </c>
      <c r="B2" s="119">
        <v>1100001706</v>
      </c>
      <c r="C2" s="119">
        <v>4000009608</v>
      </c>
      <c r="D2" s="120" t="s">
        <v>637</v>
      </c>
      <c r="E2" s="121" t="s">
        <v>634</v>
      </c>
      <c r="F2" s="121">
        <v>2</v>
      </c>
      <c r="G2" s="122">
        <f>90*1.3*I2</f>
        <v>178425</v>
      </c>
      <c r="H2" s="122">
        <f>G2*F2</f>
        <v>356850</v>
      </c>
      <c r="I2" s="117">
        <v>1525</v>
      </c>
      <c r="J2" s="132">
        <v>1525</v>
      </c>
      <c r="K2" s="118"/>
    </row>
    <row r="3" spans="1:13" ht="38.25" x14ac:dyDescent="0.2">
      <c r="A3" s="119">
        <f>ROW()-1</f>
        <v>2</v>
      </c>
      <c r="B3" s="119">
        <v>1100001706</v>
      </c>
      <c r="C3" s="119">
        <v>4000010631</v>
      </c>
      <c r="D3" s="120" t="s">
        <v>638</v>
      </c>
      <c r="E3" s="121" t="s">
        <v>634</v>
      </c>
      <c r="F3" s="121">
        <v>30</v>
      </c>
      <c r="G3" s="122">
        <f>90*1.3*I3</f>
        <v>2340</v>
      </c>
      <c r="H3" s="122">
        <f>G3*F3</f>
        <v>70200</v>
      </c>
      <c r="I3" s="117">
        <v>20</v>
      </c>
      <c r="J3" s="132">
        <v>17</v>
      </c>
      <c r="K3" s="118"/>
    </row>
    <row r="4" spans="1:13" s="128" customFormat="1" x14ac:dyDescent="0.2">
      <c r="A4" s="119">
        <f t="shared" ref="A4:A6" si="0">ROW()-1</f>
        <v>3</v>
      </c>
      <c r="B4" s="349" t="s">
        <v>7</v>
      </c>
      <c r="C4" s="349"/>
      <c r="D4" s="349"/>
      <c r="E4" s="349"/>
      <c r="F4" s="349"/>
      <c r="G4" s="349"/>
      <c r="H4" s="125">
        <f>SUM(H1:H3)</f>
        <v>427050</v>
      </c>
      <c r="I4" s="127"/>
      <c r="J4" s="77"/>
    </row>
    <row r="5" spans="1:13" s="128" customFormat="1" x14ac:dyDescent="0.2">
      <c r="A5" s="119">
        <f t="shared" si="0"/>
        <v>4</v>
      </c>
      <c r="B5" s="349" t="s">
        <v>639</v>
      </c>
      <c r="C5" s="349"/>
      <c r="D5" s="349"/>
      <c r="E5" s="349"/>
      <c r="F5" s="349"/>
      <c r="G5" s="349"/>
      <c r="H5" s="125">
        <f>H4*18%</f>
        <v>76869</v>
      </c>
      <c r="I5" s="127"/>
      <c r="J5" s="77"/>
    </row>
    <row r="6" spans="1:13" s="128" customFormat="1" x14ac:dyDescent="0.2">
      <c r="A6" s="119">
        <f t="shared" si="0"/>
        <v>5</v>
      </c>
      <c r="B6" s="349" t="s">
        <v>8</v>
      </c>
      <c r="C6" s="349"/>
      <c r="D6" s="349"/>
      <c r="E6" s="349"/>
      <c r="F6" s="349"/>
      <c r="G6" s="349"/>
      <c r="H6" s="125">
        <f>H5+H4</f>
        <v>503919</v>
      </c>
      <c r="I6" s="127"/>
      <c r="J6" s="77"/>
    </row>
    <row r="7" spans="1:13" s="128" customFormat="1" ht="140.25" x14ac:dyDescent="0.2">
      <c r="A7" s="129" t="s">
        <v>9</v>
      </c>
      <c r="B7" s="350" t="s">
        <v>631</v>
      </c>
      <c r="C7" s="350"/>
      <c r="D7" s="350"/>
      <c r="E7" s="350"/>
      <c r="F7" s="350"/>
      <c r="G7" s="350"/>
      <c r="H7" s="350"/>
      <c r="I7" s="127"/>
      <c r="J7" s="127"/>
      <c r="M7" s="130"/>
    </row>
    <row r="8" spans="1:13" x14ac:dyDescent="0.2">
      <c r="A8" s="131"/>
    </row>
  </sheetData>
  <mergeCells count="4">
    <mergeCell ref="B4:G4"/>
    <mergeCell ref="B5:G5"/>
    <mergeCell ref="B6:G6"/>
    <mergeCell ref="B7:H7"/>
  </mergeCells>
  <pageMargins left="0.23622047244094491" right="0.23622047244094491" top="0.74803149606299213" bottom="0.74803149606299213" header="0.31496062992125984" footer="0.31496062992125984"/>
  <pageSetup orientation="landscape" horizontalDpi="4294967292" r:id="rId1"/>
  <headerFooter>
    <oddHeader>&amp;LCONFIANCE INDIA&amp;CPR 2020017116 (TG Spare )&amp;R9 NOV 2023</oddHeader>
    <oddFooter>Page &amp;P of &amp;N</oddFooter>
  </headerFooter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A1:M6"/>
  <sheetViews>
    <sheetView zoomScaleNormal="100" zoomScaleSheetLayoutView="100" workbookViewId="0">
      <selection activeCell="H3" sqref="H3:H5"/>
    </sheetView>
  </sheetViews>
  <sheetFormatPr defaultColWidth="9.140625" defaultRowHeight="12.75" x14ac:dyDescent="0.2"/>
  <cols>
    <col min="1" max="1" width="5.85546875" style="116" bestFit="1" customWidth="1"/>
    <col min="2" max="2" width="15.85546875" style="116" customWidth="1"/>
    <col min="3" max="3" width="16.7109375" style="116" customWidth="1"/>
    <col min="4" max="4" width="46.28515625" style="116" customWidth="1"/>
    <col min="5" max="5" width="5" style="116" bestFit="1" customWidth="1"/>
    <col min="6" max="6" width="8.7109375" style="116" customWidth="1"/>
    <col min="7" max="7" width="14.5703125" style="116" customWidth="1"/>
    <col min="8" max="8" width="18.5703125" style="116" customWidth="1"/>
    <col min="9" max="9" width="14" style="127" bestFit="1" customWidth="1"/>
    <col min="10" max="10" width="11.42578125" style="77" bestFit="1" customWidth="1"/>
    <col min="11" max="11" width="12.28515625" style="128" bestFit="1" customWidth="1"/>
    <col min="12" max="12" width="9.140625" style="116"/>
    <col min="13" max="13" width="14" style="116" bestFit="1" customWidth="1"/>
    <col min="14" max="15" width="12.42578125" style="116" bestFit="1" customWidth="1"/>
    <col min="16" max="16384" width="9.140625" style="116"/>
  </cols>
  <sheetData>
    <row r="1" spans="1:13" x14ac:dyDescent="0.2">
      <c r="A1" s="115" t="s">
        <v>0</v>
      </c>
      <c r="B1" s="115" t="s">
        <v>1</v>
      </c>
      <c r="C1" s="115" t="s">
        <v>5</v>
      </c>
      <c r="D1" s="115" t="s">
        <v>2</v>
      </c>
      <c r="E1" s="115" t="s">
        <v>3</v>
      </c>
      <c r="F1" s="115" t="s">
        <v>614</v>
      </c>
      <c r="G1" s="115" t="s">
        <v>615</v>
      </c>
      <c r="H1" s="115" t="s">
        <v>119</v>
      </c>
      <c r="I1" s="115" t="s">
        <v>17</v>
      </c>
      <c r="J1" s="117"/>
      <c r="K1" s="118"/>
    </row>
    <row r="2" spans="1:13" ht="25.5" x14ac:dyDescent="0.2">
      <c r="A2" s="119">
        <f>ROW()-1</f>
        <v>1</v>
      </c>
      <c r="B2" s="119" t="s">
        <v>640</v>
      </c>
      <c r="C2" s="119">
        <v>5307000022</v>
      </c>
      <c r="D2" s="120" t="s">
        <v>641</v>
      </c>
      <c r="E2" s="121" t="s">
        <v>634</v>
      </c>
      <c r="F2" s="121">
        <v>25</v>
      </c>
      <c r="G2" s="122">
        <f>90*1.3*I2</f>
        <v>14040</v>
      </c>
      <c r="H2" s="122">
        <f>G2*F2</f>
        <v>351000</v>
      </c>
      <c r="I2" s="133">
        <v>120</v>
      </c>
      <c r="J2" s="132"/>
      <c r="K2" s="118"/>
    </row>
    <row r="3" spans="1:13" s="128" customFormat="1" x14ac:dyDescent="0.2">
      <c r="A3" s="119">
        <f t="shared" ref="A3:A5" si="0">ROW()-1</f>
        <v>2</v>
      </c>
      <c r="B3" s="349" t="s">
        <v>7</v>
      </c>
      <c r="C3" s="349"/>
      <c r="D3" s="349"/>
      <c r="E3" s="349"/>
      <c r="F3" s="349"/>
      <c r="G3" s="349"/>
      <c r="H3" s="125">
        <f>SUM(H1:H2)</f>
        <v>351000</v>
      </c>
      <c r="I3" s="127"/>
      <c r="J3" s="77"/>
    </row>
    <row r="4" spans="1:13" s="128" customFormat="1" x14ac:dyDescent="0.2">
      <c r="A4" s="119">
        <f t="shared" si="0"/>
        <v>3</v>
      </c>
      <c r="B4" s="349" t="s">
        <v>642</v>
      </c>
      <c r="C4" s="349"/>
      <c r="D4" s="349"/>
      <c r="E4" s="349"/>
      <c r="F4" s="349"/>
      <c r="G4" s="349"/>
      <c r="H4" s="125">
        <f>H3*18%</f>
        <v>63180</v>
      </c>
      <c r="I4" s="127"/>
      <c r="J4" s="77"/>
    </row>
    <row r="5" spans="1:13" s="128" customFormat="1" x14ac:dyDescent="0.2">
      <c r="A5" s="119">
        <f t="shared" si="0"/>
        <v>4</v>
      </c>
      <c r="B5" s="349" t="s">
        <v>8</v>
      </c>
      <c r="C5" s="349"/>
      <c r="D5" s="349"/>
      <c r="E5" s="349"/>
      <c r="F5" s="349"/>
      <c r="G5" s="349"/>
      <c r="H5" s="125">
        <f>H4+H3</f>
        <v>414180</v>
      </c>
      <c r="I5" s="127"/>
      <c r="J5" s="77"/>
    </row>
    <row r="6" spans="1:13" s="128" customFormat="1" ht="140.25" x14ac:dyDescent="0.2">
      <c r="A6" s="129" t="s">
        <v>9</v>
      </c>
      <c r="B6" s="350" t="s">
        <v>631</v>
      </c>
      <c r="C6" s="350"/>
      <c r="D6" s="350"/>
      <c r="E6" s="350"/>
      <c r="F6" s="350"/>
      <c r="G6" s="350"/>
      <c r="H6" s="350"/>
      <c r="I6" s="127"/>
      <c r="J6" s="127"/>
      <c r="M6" s="130"/>
    </row>
  </sheetData>
  <mergeCells count="4">
    <mergeCell ref="B3:G3"/>
    <mergeCell ref="B4:G4"/>
    <mergeCell ref="B5:G5"/>
    <mergeCell ref="B6:H6"/>
  </mergeCells>
  <pageMargins left="0.23622047244094491" right="0.23622047244094491" top="0.74803149606299213" bottom="0.74803149606299213" header="0.31496062992125984" footer="0.31496062992125984"/>
  <pageSetup orientation="landscape" horizontalDpi="4294967292" r:id="rId1"/>
  <headerFooter>
    <oddHeader>&amp;LCONFIANCE INDIA&amp;CPR 2020017116 (TG Spare )&amp;R9 NOV 2023</oddHeader>
    <oddFooter>Page &amp;P of &amp;N</oddFooter>
  </headerFooter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dimension ref="A1:M6"/>
  <sheetViews>
    <sheetView zoomScaleNormal="100" zoomScaleSheetLayoutView="100" workbookViewId="0">
      <selection activeCell="J18" sqref="J18"/>
    </sheetView>
  </sheetViews>
  <sheetFormatPr defaultColWidth="9.140625" defaultRowHeight="12.75" x14ac:dyDescent="0.2"/>
  <cols>
    <col min="1" max="1" width="5.85546875" style="116" bestFit="1" customWidth="1"/>
    <col min="2" max="2" width="15.85546875" style="116" customWidth="1"/>
    <col min="3" max="3" width="16.7109375" style="116" customWidth="1"/>
    <col min="4" max="4" width="46.28515625" style="116" customWidth="1"/>
    <col min="5" max="5" width="5" style="116" bestFit="1" customWidth="1"/>
    <col min="6" max="6" width="8.7109375" style="116" customWidth="1"/>
    <col min="7" max="7" width="14.5703125" style="116" customWidth="1"/>
    <col min="8" max="8" width="18.5703125" style="116" customWidth="1"/>
    <col min="9" max="9" width="14" style="127" bestFit="1" customWidth="1"/>
    <col min="10" max="10" width="11.42578125" style="77" bestFit="1" customWidth="1"/>
    <col min="11" max="11" width="12.28515625" style="128" bestFit="1" customWidth="1"/>
    <col min="12" max="12" width="9.140625" style="116"/>
    <col min="13" max="13" width="14" style="116" bestFit="1" customWidth="1"/>
    <col min="14" max="15" width="12.42578125" style="116" bestFit="1" customWidth="1"/>
    <col min="16" max="16384" width="9.140625" style="116"/>
  </cols>
  <sheetData>
    <row r="1" spans="1:13" x14ac:dyDescent="0.2">
      <c r="A1" s="115" t="s">
        <v>0</v>
      </c>
      <c r="B1" s="115" t="s">
        <v>1</v>
      </c>
      <c r="C1" s="115" t="s">
        <v>5</v>
      </c>
      <c r="D1" s="115" t="s">
        <v>2</v>
      </c>
      <c r="E1" s="115" t="s">
        <v>3</v>
      </c>
      <c r="F1" s="115" t="s">
        <v>614</v>
      </c>
      <c r="G1" s="115" t="s">
        <v>615</v>
      </c>
      <c r="H1" s="115" t="s">
        <v>119</v>
      </c>
      <c r="I1" s="115" t="s">
        <v>17</v>
      </c>
      <c r="J1" s="117"/>
      <c r="K1" s="118"/>
    </row>
    <row r="2" spans="1:13" x14ac:dyDescent="0.2">
      <c r="A2" s="119">
        <f>ROW()-1</f>
        <v>1</v>
      </c>
      <c r="B2" s="119">
        <v>1100001443</v>
      </c>
      <c r="C2" s="119">
        <v>4000005046</v>
      </c>
      <c r="D2" s="120" t="s">
        <v>643</v>
      </c>
      <c r="E2" s="121" t="s">
        <v>634</v>
      </c>
      <c r="F2" s="121">
        <v>1</v>
      </c>
      <c r="G2" s="122">
        <f>I2</f>
        <v>181350</v>
      </c>
      <c r="H2" s="122">
        <f>G2*F2</f>
        <v>181350</v>
      </c>
      <c r="I2" s="133">
        <v>181350</v>
      </c>
      <c r="J2" s="132"/>
      <c r="K2" s="118"/>
    </row>
    <row r="3" spans="1:13" s="128" customFormat="1" x14ac:dyDescent="0.2">
      <c r="A3" s="119">
        <f t="shared" ref="A3:A5" si="0">ROW()-1</f>
        <v>2</v>
      </c>
      <c r="B3" s="349" t="s">
        <v>7</v>
      </c>
      <c r="C3" s="349"/>
      <c r="D3" s="349"/>
      <c r="E3" s="349"/>
      <c r="F3" s="349"/>
      <c r="G3" s="349"/>
      <c r="H3" s="125">
        <f>SUM(H1:H2)</f>
        <v>181350</v>
      </c>
      <c r="I3" s="127"/>
      <c r="J3" s="77"/>
    </row>
    <row r="4" spans="1:13" s="128" customFormat="1" x14ac:dyDescent="0.2">
      <c r="A4" s="119">
        <f t="shared" si="0"/>
        <v>3</v>
      </c>
      <c r="B4" s="349" t="s">
        <v>388</v>
      </c>
      <c r="C4" s="349"/>
      <c r="D4" s="349"/>
      <c r="E4" s="349"/>
      <c r="F4" s="349"/>
      <c r="G4" s="349"/>
      <c r="H4" s="125">
        <f>H3*18%</f>
        <v>32643</v>
      </c>
      <c r="I4" s="127"/>
      <c r="J4" s="77"/>
    </row>
    <row r="5" spans="1:13" s="128" customFormat="1" x14ac:dyDescent="0.2">
      <c r="A5" s="119">
        <f t="shared" si="0"/>
        <v>4</v>
      </c>
      <c r="B5" s="349" t="s">
        <v>8</v>
      </c>
      <c r="C5" s="349"/>
      <c r="D5" s="349"/>
      <c r="E5" s="349"/>
      <c r="F5" s="349"/>
      <c r="G5" s="349"/>
      <c r="H5" s="125">
        <f>H4+H3</f>
        <v>213993</v>
      </c>
      <c r="I5" s="127"/>
      <c r="J5" s="77"/>
    </row>
    <row r="6" spans="1:13" s="128" customFormat="1" ht="140.25" x14ac:dyDescent="0.2">
      <c r="A6" s="129" t="s">
        <v>9</v>
      </c>
      <c r="B6" s="350" t="s">
        <v>631</v>
      </c>
      <c r="C6" s="350"/>
      <c r="D6" s="350"/>
      <c r="E6" s="350"/>
      <c r="F6" s="350"/>
      <c r="G6" s="350"/>
      <c r="H6" s="350"/>
      <c r="I6" s="127"/>
      <c r="J6" s="127"/>
      <c r="M6" s="130"/>
    </row>
  </sheetData>
  <mergeCells count="4">
    <mergeCell ref="B3:G3"/>
    <mergeCell ref="B4:G4"/>
    <mergeCell ref="B5:G5"/>
    <mergeCell ref="B6:H6"/>
  </mergeCells>
  <pageMargins left="0.23622047244094491" right="0.23622047244094491" top="0.74803149606299213" bottom="0.74803149606299213" header="0.31496062992125984" footer="0.31496062992125984"/>
  <pageSetup orientation="landscape" horizontalDpi="4294967292" r:id="rId1"/>
  <headerFooter>
    <oddHeader>&amp;LCONFIANCE INDIA&amp;CPR 2020017116 (TG Spare )&amp;R9 NOV 2023</oddHeader>
    <oddFooter>Page &amp;P of &amp;N</oddFooter>
  </headerFooter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dimension ref="A1:M8"/>
  <sheetViews>
    <sheetView zoomScaleNormal="100" zoomScaleSheetLayoutView="100" workbookViewId="0">
      <selection activeCell="N8" sqref="N8"/>
    </sheetView>
  </sheetViews>
  <sheetFormatPr defaultColWidth="9.140625" defaultRowHeight="12.75" x14ac:dyDescent="0.2"/>
  <cols>
    <col min="1" max="1" width="5.85546875" style="116" bestFit="1" customWidth="1"/>
    <col min="2" max="2" width="15.85546875" style="116" customWidth="1"/>
    <col min="3" max="3" width="16.7109375" style="116" customWidth="1"/>
    <col min="4" max="4" width="49.5703125" style="116" customWidth="1"/>
    <col min="5" max="5" width="5" style="116" bestFit="1" customWidth="1"/>
    <col min="6" max="6" width="8.7109375" style="116" customWidth="1"/>
    <col min="7" max="7" width="14.5703125" style="116" customWidth="1"/>
    <col min="8" max="8" width="18.5703125" style="116" customWidth="1"/>
    <col min="9" max="9" width="14" style="127" bestFit="1" customWidth="1"/>
    <col min="10" max="10" width="11.42578125" style="77" bestFit="1" customWidth="1"/>
    <col min="11" max="11" width="12.28515625" style="128" bestFit="1" customWidth="1"/>
    <col min="12" max="12" width="9.140625" style="116"/>
    <col min="13" max="13" width="14" style="116" bestFit="1" customWidth="1"/>
    <col min="14" max="15" width="12.42578125" style="116" bestFit="1" customWidth="1"/>
    <col min="16" max="16384" width="9.140625" style="116"/>
  </cols>
  <sheetData>
    <row r="1" spans="1:13" x14ac:dyDescent="0.2">
      <c r="A1" s="115" t="s">
        <v>0</v>
      </c>
      <c r="B1" s="115" t="s">
        <v>1</v>
      </c>
      <c r="C1" s="115" t="s">
        <v>5</v>
      </c>
      <c r="D1" s="115" t="s">
        <v>2</v>
      </c>
      <c r="E1" s="115" t="s">
        <v>3</v>
      </c>
      <c r="F1" s="115" t="s">
        <v>614</v>
      </c>
      <c r="G1" s="115" t="s">
        <v>615</v>
      </c>
      <c r="H1" s="115" t="s">
        <v>119</v>
      </c>
      <c r="I1" s="115" t="s">
        <v>17</v>
      </c>
      <c r="J1" s="117" t="s">
        <v>10</v>
      </c>
      <c r="K1" s="118"/>
    </row>
    <row r="2" spans="1:13" x14ac:dyDescent="0.2">
      <c r="A2" s="119">
        <f>ROW()-1</f>
        <v>1</v>
      </c>
      <c r="B2" s="119">
        <v>1100001747</v>
      </c>
      <c r="C2" s="119">
        <v>4000003474</v>
      </c>
      <c r="D2" s="120" t="s">
        <v>644</v>
      </c>
      <c r="E2" s="121" t="s">
        <v>634</v>
      </c>
      <c r="F2" s="121">
        <v>2</v>
      </c>
      <c r="G2" s="122">
        <f>90*1.3*I2</f>
        <v>163215</v>
      </c>
      <c r="H2" s="122">
        <f>G2*F2</f>
        <v>326430</v>
      </c>
      <c r="I2" s="133">
        <f>J2+400</f>
        <v>1395</v>
      </c>
      <c r="J2" s="132">
        <v>995</v>
      </c>
      <c r="K2" s="118"/>
    </row>
    <row r="3" spans="1:13" ht="25.5" x14ac:dyDescent="0.2">
      <c r="A3" s="119">
        <f t="shared" ref="A3:A4" si="0">ROW()-1</f>
        <v>2</v>
      </c>
      <c r="B3" s="119">
        <v>1100001747</v>
      </c>
      <c r="C3" s="119">
        <v>4000003485</v>
      </c>
      <c r="D3" s="120" t="s">
        <v>645</v>
      </c>
      <c r="E3" s="121" t="s">
        <v>634</v>
      </c>
      <c r="F3" s="121">
        <v>2</v>
      </c>
      <c r="G3" s="122">
        <f>90*1.3*I3</f>
        <v>231660</v>
      </c>
      <c r="H3" s="122">
        <f>G3*F3</f>
        <v>463320</v>
      </c>
      <c r="I3" s="133">
        <f t="shared" ref="I3:I4" si="1">J3+400</f>
        <v>1980</v>
      </c>
      <c r="J3" s="132">
        <v>1580</v>
      </c>
      <c r="K3" s="118"/>
    </row>
    <row r="4" spans="1:13" ht="25.5" x14ac:dyDescent="0.2">
      <c r="A4" s="119">
        <f t="shared" si="0"/>
        <v>3</v>
      </c>
      <c r="B4" s="119">
        <v>1100001747</v>
      </c>
      <c r="C4" s="119">
        <v>4000003481</v>
      </c>
      <c r="D4" s="120" t="s">
        <v>646</v>
      </c>
      <c r="E4" s="121" t="s">
        <v>634</v>
      </c>
      <c r="F4" s="121">
        <v>2</v>
      </c>
      <c r="G4" s="122">
        <f>90*1.3*I4</f>
        <v>155610</v>
      </c>
      <c r="H4" s="122">
        <f>G4*F4</f>
        <v>311220</v>
      </c>
      <c r="I4" s="133">
        <f t="shared" si="1"/>
        <v>1330</v>
      </c>
      <c r="J4" s="132">
        <v>930</v>
      </c>
      <c r="K4" s="118"/>
    </row>
    <row r="5" spans="1:13" s="128" customFormat="1" x14ac:dyDescent="0.2">
      <c r="A5" s="119">
        <f t="shared" ref="A5:A7" si="2">ROW()-1</f>
        <v>4</v>
      </c>
      <c r="B5" s="349" t="s">
        <v>7</v>
      </c>
      <c r="C5" s="349"/>
      <c r="D5" s="349"/>
      <c r="E5" s="349"/>
      <c r="F5" s="349"/>
      <c r="G5" s="349"/>
      <c r="H5" s="125">
        <f>SUM(H2:H4)</f>
        <v>1100970</v>
      </c>
      <c r="I5" s="127"/>
      <c r="J5" s="77"/>
    </row>
    <row r="6" spans="1:13" s="128" customFormat="1" x14ac:dyDescent="0.2">
      <c r="A6" s="119">
        <f t="shared" si="2"/>
        <v>5</v>
      </c>
      <c r="B6" s="349" t="s">
        <v>55</v>
      </c>
      <c r="C6" s="349"/>
      <c r="D6" s="349"/>
      <c r="E6" s="349"/>
      <c r="F6" s="349"/>
      <c r="G6" s="349"/>
      <c r="H6" s="125">
        <f>H5*18%</f>
        <v>198174.6</v>
      </c>
      <c r="I6" s="127"/>
      <c r="J6" s="77"/>
    </row>
    <row r="7" spans="1:13" s="128" customFormat="1" x14ac:dyDescent="0.2">
      <c r="A7" s="119">
        <f t="shared" si="2"/>
        <v>6</v>
      </c>
      <c r="B7" s="349" t="s">
        <v>8</v>
      </c>
      <c r="C7" s="349"/>
      <c r="D7" s="349"/>
      <c r="E7" s="349"/>
      <c r="F7" s="349"/>
      <c r="G7" s="349"/>
      <c r="H7" s="125">
        <f>H6+H5</f>
        <v>1299144.6000000001</v>
      </c>
      <c r="I7" s="127"/>
      <c r="J7" s="77"/>
    </row>
    <row r="8" spans="1:13" s="128" customFormat="1" ht="140.25" x14ac:dyDescent="0.2">
      <c r="A8" s="129" t="s">
        <v>9</v>
      </c>
      <c r="B8" s="350" t="s">
        <v>631</v>
      </c>
      <c r="C8" s="350"/>
      <c r="D8" s="350"/>
      <c r="E8" s="350"/>
      <c r="F8" s="350"/>
      <c r="G8" s="350"/>
      <c r="H8" s="350"/>
      <c r="I8" s="127"/>
      <c r="J8" s="127"/>
      <c r="M8" s="130"/>
    </row>
  </sheetData>
  <mergeCells count="4">
    <mergeCell ref="B5:G5"/>
    <mergeCell ref="B6:G6"/>
    <mergeCell ref="B7:G7"/>
    <mergeCell ref="B8:H8"/>
  </mergeCells>
  <pageMargins left="0.23622047244094491" right="0.23622047244094491" top="0.74803149606299213" bottom="0.74803149606299213" header="0.31496062992125984" footer="0.31496062992125984"/>
  <pageSetup orientation="landscape" horizontalDpi="4294967292" r:id="rId1"/>
  <headerFooter>
    <oddHeader>&amp;LCONFIANCE INDIA&amp;CPR 2020017116 (TG Spare )&amp;R9 NOV 2023</oddHeader>
    <oddFooter>Page &amp;P of &amp;N</oddFooter>
  </headerFooter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dimension ref="A1:M6"/>
  <sheetViews>
    <sheetView zoomScaleNormal="100" zoomScaleSheetLayoutView="100" workbookViewId="0">
      <selection activeCell="M7" sqref="M7"/>
    </sheetView>
  </sheetViews>
  <sheetFormatPr defaultColWidth="9.140625" defaultRowHeight="12.75" x14ac:dyDescent="0.2"/>
  <cols>
    <col min="1" max="1" width="5.85546875" style="116" bestFit="1" customWidth="1"/>
    <col min="2" max="2" width="15.85546875" style="116" customWidth="1"/>
    <col min="3" max="3" width="16.7109375" style="116" customWidth="1"/>
    <col min="4" max="4" width="49.5703125" style="116" customWidth="1"/>
    <col min="5" max="5" width="5" style="116" bestFit="1" customWidth="1"/>
    <col min="6" max="6" width="8.7109375" style="116" customWidth="1"/>
    <col min="7" max="7" width="14.5703125" style="116" customWidth="1"/>
    <col min="8" max="8" width="18.5703125" style="116" customWidth="1"/>
    <col min="9" max="9" width="14" style="127" bestFit="1" customWidth="1"/>
    <col min="10" max="10" width="11.42578125" style="77" bestFit="1" customWidth="1"/>
    <col min="11" max="11" width="12.28515625" style="128" bestFit="1" customWidth="1"/>
    <col min="12" max="12" width="9.140625" style="116"/>
    <col min="13" max="13" width="14" style="116" bestFit="1" customWidth="1"/>
    <col min="14" max="15" width="12.42578125" style="116" bestFit="1" customWidth="1"/>
    <col min="16" max="16384" width="9.140625" style="116"/>
  </cols>
  <sheetData>
    <row r="1" spans="1:13" x14ac:dyDescent="0.2">
      <c r="A1" s="115" t="s">
        <v>0</v>
      </c>
      <c r="B1" s="115" t="s">
        <v>1</v>
      </c>
      <c r="C1" s="115" t="s">
        <v>5</v>
      </c>
      <c r="D1" s="115" t="s">
        <v>2</v>
      </c>
      <c r="E1" s="115" t="s">
        <v>3</v>
      </c>
      <c r="F1" s="115" t="s">
        <v>614</v>
      </c>
      <c r="G1" s="115" t="s">
        <v>615</v>
      </c>
      <c r="H1" s="115" t="s">
        <v>119</v>
      </c>
      <c r="I1" s="115" t="s">
        <v>17</v>
      </c>
      <c r="J1" s="117" t="s">
        <v>10</v>
      </c>
      <c r="K1" s="118"/>
    </row>
    <row r="2" spans="1:13" ht="89.25" x14ac:dyDescent="0.2">
      <c r="A2" s="119">
        <f>ROW()-1</f>
        <v>1</v>
      </c>
      <c r="B2" s="119" t="s">
        <v>635</v>
      </c>
      <c r="C2" s="119">
        <v>4000000580</v>
      </c>
      <c r="D2" s="120" t="s">
        <v>652</v>
      </c>
      <c r="E2" s="121" t="s">
        <v>651</v>
      </c>
      <c r="F2" s="121">
        <v>1</v>
      </c>
      <c r="G2" s="122">
        <f>90*1.3*I2</f>
        <v>9009000</v>
      </c>
      <c r="H2" s="122">
        <f>G2*F2</f>
        <v>9009000</v>
      </c>
      <c r="I2" s="133">
        <v>77000</v>
      </c>
      <c r="J2" s="132">
        <v>77000</v>
      </c>
      <c r="K2" s="134" t="s">
        <v>650</v>
      </c>
    </row>
    <row r="3" spans="1:13" s="128" customFormat="1" x14ac:dyDescent="0.2">
      <c r="A3" s="119">
        <f t="shared" ref="A3:A5" si="0">ROW()-1</f>
        <v>2</v>
      </c>
      <c r="B3" s="349" t="s">
        <v>7</v>
      </c>
      <c r="C3" s="349"/>
      <c r="D3" s="349"/>
      <c r="E3" s="349"/>
      <c r="F3" s="349"/>
      <c r="G3" s="349"/>
      <c r="H3" s="125">
        <f>SUM(H2:H2)</f>
        <v>9009000</v>
      </c>
      <c r="I3" s="127"/>
      <c r="J3" s="77"/>
    </row>
    <row r="4" spans="1:13" s="128" customFormat="1" x14ac:dyDescent="0.2">
      <c r="A4" s="119">
        <f t="shared" si="0"/>
        <v>3</v>
      </c>
      <c r="B4" s="349" t="s">
        <v>649</v>
      </c>
      <c r="C4" s="349"/>
      <c r="D4" s="349"/>
      <c r="E4" s="349"/>
      <c r="F4" s="349"/>
      <c r="G4" s="349"/>
      <c r="H4" s="125">
        <f>H3*18%</f>
        <v>1621620</v>
      </c>
      <c r="I4" s="127"/>
      <c r="J4" s="77"/>
    </row>
    <row r="5" spans="1:13" s="128" customFormat="1" x14ac:dyDescent="0.2">
      <c r="A5" s="119">
        <f t="shared" si="0"/>
        <v>4</v>
      </c>
      <c r="B5" s="349" t="s">
        <v>8</v>
      </c>
      <c r="C5" s="349"/>
      <c r="D5" s="349"/>
      <c r="E5" s="349"/>
      <c r="F5" s="349"/>
      <c r="G5" s="349"/>
      <c r="H5" s="125">
        <f>H4+H3</f>
        <v>10630620</v>
      </c>
      <c r="I5" s="127"/>
      <c r="J5" s="77"/>
    </row>
    <row r="6" spans="1:13" s="128" customFormat="1" ht="140.25" x14ac:dyDescent="0.2">
      <c r="A6" s="129" t="s">
        <v>9</v>
      </c>
      <c r="B6" s="350" t="s">
        <v>631</v>
      </c>
      <c r="C6" s="350"/>
      <c r="D6" s="350"/>
      <c r="E6" s="350"/>
      <c r="F6" s="350"/>
      <c r="G6" s="350"/>
      <c r="H6" s="350"/>
      <c r="I6" s="127"/>
      <c r="J6" s="127"/>
      <c r="M6" s="130"/>
    </row>
  </sheetData>
  <mergeCells count="4">
    <mergeCell ref="B3:G3"/>
    <mergeCell ref="B4:G4"/>
    <mergeCell ref="B5:G5"/>
    <mergeCell ref="B6:H6"/>
  </mergeCells>
  <pageMargins left="0.23622047244094491" right="0.23622047244094491" top="0.74803149606299213" bottom="0.74803149606299213" header="0.31496062992125984" footer="0.31496062992125984"/>
  <pageSetup orientation="landscape" horizontalDpi="4294967292" r:id="rId1"/>
  <headerFooter>
    <oddHeader>&amp;LCONFIANCE INDIA&amp;CPR 2020017116 (TG Spare )&amp;R9 NOV 2023</oddHeader>
    <oddFooter>Page &amp;P of &amp;N</oddFooter>
  </headerFooter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dimension ref="A1:M6"/>
  <sheetViews>
    <sheetView zoomScaleNormal="100" zoomScaleSheetLayoutView="100" workbookViewId="0">
      <selection activeCell="D2" sqref="D2"/>
    </sheetView>
  </sheetViews>
  <sheetFormatPr defaultColWidth="9.140625" defaultRowHeight="12.75" x14ac:dyDescent="0.2"/>
  <cols>
    <col min="1" max="1" width="5.85546875" style="116" bestFit="1" customWidth="1"/>
    <col min="2" max="2" width="15.85546875" style="116" customWidth="1"/>
    <col min="3" max="3" width="16.7109375" style="116" customWidth="1"/>
    <col min="4" max="4" width="49.5703125" style="116" customWidth="1"/>
    <col min="5" max="5" width="5" style="116" bestFit="1" customWidth="1"/>
    <col min="6" max="6" width="8.7109375" style="116" customWidth="1"/>
    <col min="7" max="7" width="14.5703125" style="116" customWidth="1"/>
    <col min="8" max="8" width="18.5703125" style="116" customWidth="1"/>
    <col min="9" max="9" width="14" style="127" bestFit="1" customWidth="1"/>
    <col min="10" max="10" width="11.42578125" style="77" bestFit="1" customWidth="1"/>
    <col min="11" max="11" width="12.28515625" style="128" bestFit="1" customWidth="1"/>
    <col min="12" max="12" width="9.140625" style="116"/>
    <col min="13" max="13" width="14" style="116" bestFit="1" customWidth="1"/>
    <col min="14" max="15" width="12.42578125" style="116" bestFit="1" customWidth="1"/>
    <col min="16" max="16384" width="9.140625" style="116"/>
  </cols>
  <sheetData>
    <row r="1" spans="1:13" x14ac:dyDescent="0.2">
      <c r="A1" s="115" t="s">
        <v>0</v>
      </c>
      <c r="B1" s="115" t="s">
        <v>1</v>
      </c>
      <c r="C1" s="115" t="s">
        <v>5</v>
      </c>
      <c r="D1" s="115" t="s">
        <v>2</v>
      </c>
      <c r="E1" s="115" t="s">
        <v>3</v>
      </c>
      <c r="F1" s="115" t="s">
        <v>614</v>
      </c>
      <c r="G1" s="115" t="s">
        <v>615</v>
      </c>
      <c r="H1" s="115" t="s">
        <v>119</v>
      </c>
      <c r="I1" s="115" t="s">
        <v>17</v>
      </c>
      <c r="J1" s="117" t="s">
        <v>10</v>
      </c>
      <c r="K1" s="118"/>
    </row>
    <row r="2" spans="1:13" ht="38.25" x14ac:dyDescent="0.2">
      <c r="A2" s="119">
        <f>ROW()-1</f>
        <v>1</v>
      </c>
      <c r="B2" s="119" t="s">
        <v>635</v>
      </c>
      <c r="C2" s="119" t="s">
        <v>635</v>
      </c>
      <c r="D2" s="120" t="s">
        <v>653</v>
      </c>
      <c r="E2" s="121" t="s">
        <v>654</v>
      </c>
      <c r="F2" s="121">
        <v>1</v>
      </c>
      <c r="G2" s="122">
        <f>90*1.3*I2</f>
        <v>0</v>
      </c>
      <c r="H2" s="122">
        <f>G2*F2</f>
        <v>0</v>
      </c>
      <c r="I2" s="133"/>
      <c r="J2" s="132"/>
      <c r="K2" s="134"/>
    </row>
    <row r="3" spans="1:13" s="128" customFormat="1" x14ac:dyDescent="0.2">
      <c r="A3" s="119">
        <f t="shared" ref="A3:A5" si="0">ROW()-1</f>
        <v>2</v>
      </c>
      <c r="B3" s="349" t="s">
        <v>7</v>
      </c>
      <c r="C3" s="349"/>
      <c r="D3" s="349"/>
      <c r="E3" s="349"/>
      <c r="F3" s="349"/>
      <c r="G3" s="349"/>
      <c r="H3" s="125">
        <f>SUM(H2:H2)</f>
        <v>0</v>
      </c>
      <c r="I3" s="127"/>
      <c r="J3" s="77"/>
    </row>
    <row r="4" spans="1:13" s="128" customFormat="1" x14ac:dyDescent="0.2">
      <c r="A4" s="119">
        <f t="shared" si="0"/>
        <v>3</v>
      </c>
      <c r="B4" s="349" t="s">
        <v>649</v>
      </c>
      <c r="C4" s="349"/>
      <c r="D4" s="349"/>
      <c r="E4" s="349"/>
      <c r="F4" s="349"/>
      <c r="G4" s="349"/>
      <c r="H4" s="125">
        <f>H3*18%</f>
        <v>0</v>
      </c>
      <c r="I4" s="127"/>
      <c r="J4" s="77"/>
    </row>
    <row r="5" spans="1:13" s="128" customFormat="1" x14ac:dyDescent="0.2">
      <c r="A5" s="119">
        <f t="shared" si="0"/>
        <v>4</v>
      </c>
      <c r="B5" s="349" t="s">
        <v>8</v>
      </c>
      <c r="C5" s="349"/>
      <c r="D5" s="349"/>
      <c r="E5" s="349"/>
      <c r="F5" s="349"/>
      <c r="G5" s="349"/>
      <c r="H5" s="125">
        <f>H4+H3</f>
        <v>0</v>
      </c>
      <c r="I5" s="127"/>
      <c r="J5" s="77"/>
    </row>
    <row r="6" spans="1:13" s="128" customFormat="1" ht="140.25" x14ac:dyDescent="0.2">
      <c r="A6" s="129" t="s">
        <v>9</v>
      </c>
      <c r="B6" s="350" t="s">
        <v>631</v>
      </c>
      <c r="C6" s="350"/>
      <c r="D6" s="350"/>
      <c r="E6" s="350"/>
      <c r="F6" s="350"/>
      <c r="G6" s="350"/>
      <c r="H6" s="350"/>
      <c r="I6" s="127"/>
      <c r="J6" s="127"/>
      <c r="M6" s="130"/>
    </row>
  </sheetData>
  <mergeCells count="4">
    <mergeCell ref="B3:G3"/>
    <mergeCell ref="B4:G4"/>
    <mergeCell ref="B5:G5"/>
    <mergeCell ref="B6:H6"/>
  </mergeCells>
  <pageMargins left="0.23622047244094491" right="0.23622047244094491" top="0.74803149606299213" bottom="0.74803149606299213" header="0.31496062992125984" footer="0.31496062992125984"/>
  <pageSetup orientation="landscape" horizontalDpi="4294967292" r:id="rId1"/>
  <headerFooter>
    <oddHeader>&amp;LCONFIANCE INDIA&amp;CPR 2020017116 (TG Spare )&amp;R9 NOV 2023</oddHeader>
    <oddFooter>Page &amp;P of &amp;N</oddFooter>
  </headerFooter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dimension ref="A1:M6"/>
  <sheetViews>
    <sheetView zoomScaleNormal="100" zoomScaleSheetLayoutView="100" workbookViewId="0">
      <selection sqref="A1:H6"/>
    </sheetView>
  </sheetViews>
  <sheetFormatPr defaultColWidth="9.140625" defaultRowHeight="12.75" x14ac:dyDescent="0.2"/>
  <cols>
    <col min="1" max="1" width="5.85546875" style="116" bestFit="1" customWidth="1"/>
    <col min="2" max="2" width="15.85546875" style="116" customWidth="1"/>
    <col min="3" max="3" width="16.7109375" style="116" customWidth="1"/>
    <col min="4" max="4" width="49.5703125" style="116" customWidth="1"/>
    <col min="5" max="5" width="5" style="116" bestFit="1" customWidth="1"/>
    <col min="6" max="6" width="8.7109375" style="116" customWidth="1"/>
    <col min="7" max="7" width="14.5703125" style="116" customWidth="1"/>
    <col min="8" max="8" width="18.5703125" style="116" customWidth="1"/>
    <col min="9" max="9" width="14" style="127" bestFit="1" customWidth="1"/>
    <col min="10" max="10" width="11.42578125" style="77" bestFit="1" customWidth="1"/>
    <col min="11" max="11" width="12.28515625" style="128" bestFit="1" customWidth="1"/>
    <col min="12" max="12" width="9.140625" style="116"/>
    <col min="13" max="13" width="14" style="116" bestFit="1" customWidth="1"/>
    <col min="14" max="15" width="12.42578125" style="116" bestFit="1" customWidth="1"/>
    <col min="16" max="16384" width="9.140625" style="116"/>
  </cols>
  <sheetData>
    <row r="1" spans="1:13" x14ac:dyDescent="0.2">
      <c r="A1" s="115" t="s">
        <v>0</v>
      </c>
      <c r="B1" s="115" t="s">
        <v>1</v>
      </c>
      <c r="C1" s="115" t="s">
        <v>5</v>
      </c>
      <c r="D1" s="115" t="s">
        <v>2</v>
      </c>
      <c r="E1" s="115" t="s">
        <v>3</v>
      </c>
      <c r="F1" s="115" t="s">
        <v>614</v>
      </c>
      <c r="G1" s="115" t="s">
        <v>615</v>
      </c>
      <c r="H1" s="115" t="s">
        <v>119</v>
      </c>
      <c r="I1" s="115" t="s">
        <v>17</v>
      </c>
      <c r="J1" s="117" t="s">
        <v>10</v>
      </c>
      <c r="K1" s="118"/>
    </row>
    <row r="2" spans="1:13" ht="102" x14ac:dyDescent="0.2">
      <c r="A2" s="119">
        <f>ROW()-1</f>
        <v>1</v>
      </c>
      <c r="B2" s="119">
        <v>100321</v>
      </c>
      <c r="C2" s="119" t="s">
        <v>635</v>
      </c>
      <c r="D2" s="120" t="s">
        <v>655</v>
      </c>
      <c r="E2" s="121" t="s">
        <v>634</v>
      </c>
      <c r="F2" s="121">
        <v>2</v>
      </c>
      <c r="G2" s="122">
        <f>90*1.3*I2</f>
        <v>561600</v>
      </c>
      <c r="H2" s="122">
        <f>G2*F2</f>
        <v>1123200</v>
      </c>
      <c r="I2" s="133">
        <v>4800</v>
      </c>
      <c r="J2" s="132"/>
      <c r="K2" s="134"/>
    </row>
    <row r="3" spans="1:13" s="128" customFormat="1" x14ac:dyDescent="0.2">
      <c r="A3" s="119">
        <f t="shared" ref="A3:A5" si="0">ROW()-1</f>
        <v>2</v>
      </c>
      <c r="B3" s="349" t="s">
        <v>7</v>
      </c>
      <c r="C3" s="349"/>
      <c r="D3" s="349"/>
      <c r="E3" s="349"/>
      <c r="F3" s="349"/>
      <c r="G3" s="349"/>
      <c r="H3" s="125">
        <f>SUM(H2:H2)</f>
        <v>1123200</v>
      </c>
      <c r="I3" s="127"/>
      <c r="J3" s="77"/>
    </row>
    <row r="4" spans="1:13" s="128" customFormat="1" x14ac:dyDescent="0.2">
      <c r="A4" s="119">
        <f t="shared" si="0"/>
        <v>3</v>
      </c>
      <c r="B4" s="349" t="s">
        <v>649</v>
      </c>
      <c r="C4" s="349"/>
      <c r="D4" s="349"/>
      <c r="E4" s="349"/>
      <c r="F4" s="349"/>
      <c r="G4" s="349"/>
      <c r="H4" s="125">
        <f>H3*18%</f>
        <v>202176</v>
      </c>
      <c r="I4" s="127"/>
      <c r="J4" s="77"/>
    </row>
    <row r="5" spans="1:13" s="128" customFormat="1" x14ac:dyDescent="0.2">
      <c r="A5" s="119">
        <f t="shared" si="0"/>
        <v>4</v>
      </c>
      <c r="B5" s="349" t="s">
        <v>8</v>
      </c>
      <c r="C5" s="349"/>
      <c r="D5" s="349"/>
      <c r="E5" s="349"/>
      <c r="F5" s="349"/>
      <c r="G5" s="349"/>
      <c r="H5" s="125">
        <f>H4+H3</f>
        <v>1325376</v>
      </c>
      <c r="I5" s="127"/>
      <c r="J5" s="77"/>
    </row>
    <row r="6" spans="1:13" s="128" customFormat="1" ht="140.25" x14ac:dyDescent="0.2">
      <c r="A6" s="129" t="s">
        <v>9</v>
      </c>
      <c r="B6" s="350" t="s">
        <v>631</v>
      </c>
      <c r="C6" s="350"/>
      <c r="D6" s="350"/>
      <c r="E6" s="350"/>
      <c r="F6" s="350"/>
      <c r="G6" s="350"/>
      <c r="H6" s="350"/>
      <c r="I6" s="127"/>
      <c r="J6" s="127"/>
      <c r="M6" s="130"/>
    </row>
  </sheetData>
  <mergeCells count="4">
    <mergeCell ref="B3:G3"/>
    <mergeCell ref="B4:G4"/>
    <mergeCell ref="B5:G5"/>
    <mergeCell ref="B6:H6"/>
  </mergeCells>
  <pageMargins left="0.23622047244094491" right="0.23622047244094491" top="0.74803149606299213" bottom="0.74803149606299213" header="0.31496062992125984" footer="0.31496062992125984"/>
  <pageSetup orientation="landscape" horizontalDpi="4294967292" r:id="rId1"/>
  <headerFooter>
    <oddHeader>&amp;LCONFIANCE INDIA&amp;CPR 2020017116 (TG Spare )&amp;R9 NOV 2023</oddHeader>
    <oddFooter>Page &amp;P of &amp;N</oddFooter>
  </headerFooter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dimension ref="A1:R9"/>
  <sheetViews>
    <sheetView topLeftCell="C4" zoomScale="105" zoomScaleNormal="100" zoomScaleSheetLayoutView="100" workbookViewId="0">
      <selection activeCell="P8" sqref="P8"/>
    </sheetView>
  </sheetViews>
  <sheetFormatPr defaultColWidth="9.140625" defaultRowHeight="12.75" x14ac:dyDescent="0.2"/>
  <cols>
    <col min="1" max="1" width="5.85546875" style="116" bestFit="1" customWidth="1"/>
    <col min="2" max="2" width="11.28515625" style="116" customWidth="1"/>
    <col min="3" max="3" width="13.7109375" style="116" bestFit="1" customWidth="1"/>
    <col min="4" max="4" width="8.5703125" style="116" bestFit="1" customWidth="1"/>
    <col min="5" max="5" width="7.28515625" style="116" bestFit="1" customWidth="1"/>
    <col min="6" max="6" width="14.5703125" style="116" bestFit="1" customWidth="1"/>
    <col min="7" max="7" width="16.140625" style="116" bestFit="1" customWidth="1"/>
    <col min="8" max="8" width="43.85546875" style="116" customWidth="1"/>
    <col min="9" max="9" width="31.42578125" style="116" customWidth="1"/>
    <col min="10" max="10" width="5" style="116" bestFit="1" customWidth="1"/>
    <col min="11" max="11" width="8.7109375" style="116" customWidth="1"/>
    <col min="12" max="12" width="14.5703125" style="116" customWidth="1"/>
    <col min="13" max="13" width="18.5703125" style="116" customWidth="1"/>
    <col min="14" max="14" width="14" style="127" customWidth="1"/>
    <col min="15" max="15" width="11.42578125" style="77" bestFit="1" customWidth="1"/>
    <col min="16" max="16" width="16.28515625" style="128" bestFit="1" customWidth="1"/>
    <col min="17" max="17" width="12.5703125" style="116" bestFit="1" customWidth="1"/>
    <col min="18" max="18" width="14" style="116" bestFit="1" customWidth="1"/>
    <col min="19" max="20" width="12.42578125" style="116" bestFit="1" customWidth="1"/>
    <col min="21" max="16384" width="9.140625" style="116"/>
  </cols>
  <sheetData>
    <row r="1" spans="1:18" x14ac:dyDescent="0.2">
      <c r="A1" s="115" t="s">
        <v>0</v>
      </c>
      <c r="B1" s="115" t="s">
        <v>1</v>
      </c>
      <c r="C1" s="115" t="s">
        <v>666</v>
      </c>
      <c r="D1" s="115" t="s">
        <v>667</v>
      </c>
      <c r="E1" s="115" t="s">
        <v>668</v>
      </c>
      <c r="F1" s="115" t="s">
        <v>669</v>
      </c>
      <c r="G1" s="115" t="s">
        <v>670</v>
      </c>
      <c r="H1" s="115" t="s">
        <v>671</v>
      </c>
      <c r="I1" s="115" t="s">
        <v>672</v>
      </c>
      <c r="J1" s="115" t="s">
        <v>3</v>
      </c>
      <c r="K1" s="115" t="s">
        <v>614</v>
      </c>
      <c r="L1" s="115" t="s">
        <v>615</v>
      </c>
      <c r="M1" s="115" t="s">
        <v>119</v>
      </c>
      <c r="N1" s="115" t="s">
        <v>17</v>
      </c>
      <c r="O1" s="117" t="s">
        <v>10</v>
      </c>
      <c r="P1" s="140" t="s">
        <v>663</v>
      </c>
      <c r="Q1" s="116" t="s">
        <v>664</v>
      </c>
      <c r="R1" s="116" t="s">
        <v>665</v>
      </c>
    </row>
    <row r="2" spans="1:18" ht="152.25" customHeight="1" x14ac:dyDescent="0.2">
      <c r="A2" s="119">
        <f>ROW()-1</f>
        <v>1</v>
      </c>
      <c r="B2" s="119">
        <v>100578</v>
      </c>
      <c r="C2" s="143" t="s">
        <v>673</v>
      </c>
      <c r="D2" s="143" t="s">
        <v>674</v>
      </c>
      <c r="E2" s="143" t="s">
        <v>675</v>
      </c>
      <c r="F2" s="144" t="s">
        <v>676</v>
      </c>
      <c r="G2" s="145" t="s">
        <v>677</v>
      </c>
      <c r="H2" s="145" t="s">
        <v>693</v>
      </c>
      <c r="I2" s="144" t="s">
        <v>678</v>
      </c>
      <c r="J2" s="121" t="s">
        <v>634</v>
      </c>
      <c r="K2" s="121">
        <v>2</v>
      </c>
      <c r="L2" s="137">
        <f>90*1.3*N2</f>
        <v>863460</v>
      </c>
      <c r="M2" s="137">
        <f>L2*K2</f>
        <v>1726920</v>
      </c>
      <c r="N2" s="133">
        <v>7380</v>
      </c>
      <c r="O2" s="135">
        <v>1550</v>
      </c>
      <c r="P2" s="141">
        <v>7380</v>
      </c>
      <c r="Q2" s="142">
        <v>330</v>
      </c>
      <c r="R2" s="142">
        <v>1220</v>
      </c>
    </row>
    <row r="3" spans="1:18" ht="167.25" customHeight="1" x14ac:dyDescent="0.2">
      <c r="A3" s="119">
        <f t="shared" ref="A3:A5" si="0">ROW()-1</f>
        <v>2</v>
      </c>
      <c r="B3" s="119">
        <v>100579</v>
      </c>
      <c r="C3" s="146" t="s">
        <v>679</v>
      </c>
      <c r="D3" s="146" t="s">
        <v>674</v>
      </c>
      <c r="E3" s="146" t="s">
        <v>675</v>
      </c>
      <c r="F3" s="147" t="s">
        <v>680</v>
      </c>
      <c r="G3" s="147" t="s">
        <v>681</v>
      </c>
      <c r="H3" s="145" t="s">
        <v>682</v>
      </c>
      <c r="I3" s="144" t="s">
        <v>683</v>
      </c>
      <c r="J3" s="121" t="s">
        <v>634</v>
      </c>
      <c r="K3" s="121">
        <v>1</v>
      </c>
      <c r="L3" s="137">
        <f t="shared" ref="L3:L5" si="1">90*1.3*N3</f>
        <v>181350</v>
      </c>
      <c r="M3" s="137">
        <f t="shared" ref="M3:M5" si="2">L3*K3</f>
        <v>181350</v>
      </c>
      <c r="N3" s="133">
        <v>1550</v>
      </c>
      <c r="O3" s="135">
        <v>1410</v>
      </c>
      <c r="P3" s="141">
        <v>1550</v>
      </c>
      <c r="Q3" s="142">
        <v>780</v>
      </c>
      <c r="R3" s="142">
        <v>1220</v>
      </c>
    </row>
    <row r="4" spans="1:18" ht="168" customHeight="1" x14ac:dyDescent="0.2">
      <c r="A4" s="119">
        <f t="shared" si="0"/>
        <v>3</v>
      </c>
      <c r="B4" s="119">
        <v>100599</v>
      </c>
      <c r="C4" s="146" t="s">
        <v>679</v>
      </c>
      <c r="D4" s="146" t="s">
        <v>684</v>
      </c>
      <c r="E4" s="146" t="s">
        <v>685</v>
      </c>
      <c r="F4" s="147" t="s">
        <v>686</v>
      </c>
      <c r="G4" s="147" t="s">
        <v>687</v>
      </c>
      <c r="H4" s="145" t="s">
        <v>688</v>
      </c>
      <c r="I4" s="144" t="s">
        <v>683</v>
      </c>
      <c r="J4" s="121" t="s">
        <v>634</v>
      </c>
      <c r="K4" s="121">
        <v>1</v>
      </c>
      <c r="L4" s="137">
        <f t="shared" si="1"/>
        <v>427635</v>
      </c>
      <c r="M4" s="137">
        <f t="shared" si="2"/>
        <v>427635</v>
      </c>
      <c r="N4" s="133">
        <v>3655</v>
      </c>
      <c r="O4" s="135">
        <v>1860</v>
      </c>
      <c r="P4" s="141">
        <v>1410</v>
      </c>
      <c r="Q4" s="142">
        <v>805</v>
      </c>
      <c r="R4" s="142">
        <v>3655</v>
      </c>
    </row>
    <row r="5" spans="1:18" ht="174" customHeight="1" x14ac:dyDescent="0.2">
      <c r="A5" s="119">
        <f t="shared" si="0"/>
        <v>4</v>
      </c>
      <c r="B5" s="119">
        <v>100577</v>
      </c>
      <c r="C5" s="146" t="s">
        <v>679</v>
      </c>
      <c r="D5" s="146" t="s">
        <v>674</v>
      </c>
      <c r="E5" s="146" t="s">
        <v>675</v>
      </c>
      <c r="F5" s="147" t="s">
        <v>689</v>
      </c>
      <c r="G5" s="147" t="s">
        <v>690</v>
      </c>
      <c r="H5" s="145" t="s">
        <v>692</v>
      </c>
      <c r="I5" s="144" t="s">
        <v>691</v>
      </c>
      <c r="J5" s="121" t="s">
        <v>634</v>
      </c>
      <c r="K5" s="121">
        <v>1</v>
      </c>
      <c r="L5" s="137">
        <f t="shared" si="1"/>
        <v>906750</v>
      </c>
      <c r="M5" s="137">
        <f t="shared" si="2"/>
        <v>906750</v>
      </c>
      <c r="N5" s="133">
        <v>7750</v>
      </c>
      <c r="O5" s="132"/>
      <c r="P5" s="141">
        <v>1410</v>
      </c>
      <c r="Q5" s="142">
        <v>7750</v>
      </c>
      <c r="R5" s="142">
        <v>5085</v>
      </c>
    </row>
    <row r="6" spans="1:18" s="128" customFormat="1" x14ac:dyDescent="0.2">
      <c r="A6" s="119">
        <f t="shared" ref="A6:A8" si="3">ROW()-1</f>
        <v>5</v>
      </c>
      <c r="B6" s="349" t="s">
        <v>7</v>
      </c>
      <c r="C6" s="349"/>
      <c r="D6" s="349"/>
      <c r="E6" s="349"/>
      <c r="F6" s="349"/>
      <c r="G6" s="349"/>
      <c r="H6" s="349"/>
      <c r="I6" s="349"/>
      <c r="J6" s="349"/>
      <c r="K6" s="349"/>
      <c r="L6" s="349"/>
      <c r="M6" s="138">
        <f>SUM(M2:M5)</f>
        <v>3242655</v>
      </c>
      <c r="N6" s="127"/>
      <c r="O6" s="77" t="s">
        <v>656</v>
      </c>
    </row>
    <row r="7" spans="1:18" s="128" customFormat="1" x14ac:dyDescent="0.2">
      <c r="A7" s="119">
        <f t="shared" si="3"/>
        <v>6</v>
      </c>
      <c r="B7" s="349" t="s">
        <v>649</v>
      </c>
      <c r="C7" s="349"/>
      <c r="D7" s="349"/>
      <c r="E7" s="349"/>
      <c r="F7" s="349"/>
      <c r="G7" s="349"/>
      <c r="H7" s="349"/>
      <c r="I7" s="349"/>
      <c r="J7" s="349"/>
      <c r="K7" s="349"/>
      <c r="L7" s="349"/>
      <c r="M7" s="138">
        <f>M6*18%</f>
        <v>583677.9</v>
      </c>
      <c r="N7" s="127"/>
      <c r="O7" s="77"/>
    </row>
    <row r="8" spans="1:18" s="128" customFormat="1" x14ac:dyDescent="0.2">
      <c r="A8" s="119">
        <f t="shared" si="3"/>
        <v>7</v>
      </c>
      <c r="B8" s="349" t="s">
        <v>8</v>
      </c>
      <c r="C8" s="349"/>
      <c r="D8" s="349"/>
      <c r="E8" s="349"/>
      <c r="F8" s="349"/>
      <c r="G8" s="349"/>
      <c r="H8" s="349"/>
      <c r="I8" s="349"/>
      <c r="J8" s="349"/>
      <c r="K8" s="349"/>
      <c r="L8" s="349"/>
      <c r="M8" s="138">
        <f>M7+M6</f>
        <v>3826332.9</v>
      </c>
      <c r="N8" s="127"/>
      <c r="O8" s="77" t="s">
        <v>906</v>
      </c>
    </row>
    <row r="9" spans="1:18" s="128" customFormat="1" ht="149.25" customHeight="1" x14ac:dyDescent="0.2">
      <c r="A9" s="129" t="s">
        <v>9</v>
      </c>
      <c r="B9" s="350" t="s">
        <v>631</v>
      </c>
      <c r="C9" s="350"/>
      <c r="D9" s="350"/>
      <c r="E9" s="350"/>
      <c r="F9" s="350"/>
      <c r="G9" s="350"/>
      <c r="H9" s="350"/>
      <c r="I9" s="350"/>
      <c r="J9" s="350"/>
      <c r="K9" s="350"/>
      <c r="L9" s="350"/>
      <c r="M9" s="350"/>
      <c r="N9" s="127"/>
      <c r="O9" s="127"/>
      <c r="R9" s="130"/>
    </row>
  </sheetData>
  <mergeCells count="4">
    <mergeCell ref="B6:L6"/>
    <mergeCell ref="B7:L7"/>
    <mergeCell ref="B8:L8"/>
    <mergeCell ref="B9:M9"/>
  </mergeCells>
  <pageMargins left="0.23622047244094491" right="0.23622047244094491" top="0.74803149606299213" bottom="0.74803149606299213" header="0.31496062992125984" footer="0.31496062992125984"/>
  <pageSetup orientation="landscape" horizontalDpi="4294967292" r:id="rId1"/>
  <headerFooter>
    <oddHeader>&amp;LCONFIANCE INDIA&amp;CPR 2020017116 (TG Spare )&amp;R9 NOV 2023</oddHeader>
    <oddFooter>Page &amp;P of &amp;N</oddFooter>
  </headerFooter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28E45-75A5-4A02-B4CD-8FE22A583235}">
  <dimension ref="A1:M6"/>
  <sheetViews>
    <sheetView zoomScaleNormal="100" zoomScaleSheetLayoutView="100" workbookViewId="0">
      <selection activeCell="K3" sqref="K3"/>
    </sheetView>
  </sheetViews>
  <sheetFormatPr defaultColWidth="9.140625" defaultRowHeight="12.75" x14ac:dyDescent="0.2"/>
  <cols>
    <col min="1" max="1" width="5.85546875" style="116" bestFit="1" customWidth="1"/>
    <col min="2" max="2" width="15.85546875" style="116" customWidth="1"/>
    <col min="3" max="3" width="16.7109375" style="116" customWidth="1"/>
    <col min="4" max="4" width="49.5703125" style="116" customWidth="1"/>
    <col min="5" max="5" width="5" style="116" bestFit="1" customWidth="1"/>
    <col min="6" max="6" width="8.7109375" style="116" customWidth="1"/>
    <col min="7" max="7" width="14.5703125" style="116" customWidth="1"/>
    <col min="8" max="8" width="18.5703125" style="116" customWidth="1"/>
    <col min="9" max="9" width="14" style="127" bestFit="1" customWidth="1"/>
    <col min="10" max="10" width="11.42578125" style="77" bestFit="1" customWidth="1"/>
    <col min="11" max="11" width="12.28515625" style="128" bestFit="1" customWidth="1"/>
    <col min="12" max="12" width="9.140625" style="116"/>
    <col min="13" max="13" width="14" style="116" bestFit="1" customWidth="1"/>
    <col min="14" max="15" width="12.42578125" style="116" bestFit="1" customWidth="1"/>
    <col min="16" max="16384" width="9.140625" style="116"/>
  </cols>
  <sheetData>
    <row r="1" spans="1:13" x14ac:dyDescent="0.2">
      <c r="A1" s="115" t="s">
        <v>0</v>
      </c>
      <c r="B1" s="115" t="s">
        <v>1</v>
      </c>
      <c r="C1" s="115" t="s">
        <v>5</v>
      </c>
      <c r="D1" s="115" t="s">
        <v>2</v>
      </c>
      <c r="E1" s="115" t="s">
        <v>3</v>
      </c>
      <c r="F1" s="115" t="s">
        <v>614</v>
      </c>
      <c r="G1" s="115" t="s">
        <v>615</v>
      </c>
      <c r="H1" s="115" t="s">
        <v>119</v>
      </c>
      <c r="I1" s="115" t="s">
        <v>17</v>
      </c>
      <c r="J1" s="117" t="s">
        <v>10</v>
      </c>
      <c r="K1" s="118" t="s">
        <v>658</v>
      </c>
    </row>
    <row r="2" spans="1:13" ht="63.75" x14ac:dyDescent="0.2">
      <c r="A2" s="119">
        <f>ROW()-1</f>
        <v>1</v>
      </c>
      <c r="B2" s="119">
        <v>100688</v>
      </c>
      <c r="C2" s="119" t="s">
        <v>635</v>
      </c>
      <c r="D2" s="120" t="s">
        <v>657</v>
      </c>
      <c r="E2" s="121" t="s">
        <v>619</v>
      </c>
      <c r="F2" s="121">
        <v>1</v>
      </c>
      <c r="G2" s="137">
        <f>90*1.35*I2</f>
        <v>1670625.0000000002</v>
      </c>
      <c r="H2" s="137">
        <f>G2*F2</f>
        <v>1670625.0000000002</v>
      </c>
      <c r="I2" s="133">
        <v>13750</v>
      </c>
      <c r="J2" s="136">
        <v>13750</v>
      </c>
      <c r="K2" s="134">
        <v>13560</v>
      </c>
    </row>
    <row r="3" spans="1:13" s="128" customFormat="1" x14ac:dyDescent="0.2">
      <c r="A3" s="119">
        <f t="shared" ref="A3:A5" si="0">ROW()-1</f>
        <v>2</v>
      </c>
      <c r="B3" s="349" t="s">
        <v>7</v>
      </c>
      <c r="C3" s="349"/>
      <c r="D3" s="349"/>
      <c r="E3" s="349"/>
      <c r="F3" s="349"/>
      <c r="G3" s="349"/>
      <c r="H3" s="138">
        <f>SUM(H2:H2)</f>
        <v>1670625.0000000002</v>
      </c>
      <c r="I3" s="127"/>
      <c r="J3" s="77"/>
      <c r="K3" s="128">
        <v>300</v>
      </c>
      <c r="L3" s="128" t="s">
        <v>659</v>
      </c>
    </row>
    <row r="4" spans="1:13" s="128" customFormat="1" x14ac:dyDescent="0.2">
      <c r="A4" s="119">
        <f t="shared" si="0"/>
        <v>3</v>
      </c>
      <c r="B4" s="349" t="s">
        <v>649</v>
      </c>
      <c r="C4" s="349"/>
      <c r="D4" s="349"/>
      <c r="E4" s="349"/>
      <c r="F4" s="349"/>
      <c r="G4" s="349"/>
      <c r="H4" s="138">
        <f>H3*18%</f>
        <v>300712.50000000006</v>
      </c>
      <c r="I4" s="127"/>
      <c r="J4" s="77"/>
    </row>
    <row r="5" spans="1:13" s="128" customFormat="1" x14ac:dyDescent="0.2">
      <c r="A5" s="119">
        <f t="shared" si="0"/>
        <v>4</v>
      </c>
      <c r="B5" s="349" t="s">
        <v>8</v>
      </c>
      <c r="C5" s="349"/>
      <c r="D5" s="349"/>
      <c r="E5" s="349"/>
      <c r="F5" s="349"/>
      <c r="G5" s="349"/>
      <c r="H5" s="138">
        <f>H4+H3</f>
        <v>1971337.5000000002</v>
      </c>
      <c r="I5" s="127"/>
      <c r="J5" s="77"/>
    </row>
    <row r="6" spans="1:13" s="128" customFormat="1" ht="140.25" x14ac:dyDescent="0.2">
      <c r="A6" s="129" t="s">
        <v>9</v>
      </c>
      <c r="B6" s="350" t="s">
        <v>631</v>
      </c>
      <c r="C6" s="350"/>
      <c r="D6" s="350"/>
      <c r="E6" s="350"/>
      <c r="F6" s="350"/>
      <c r="G6" s="350"/>
      <c r="H6" s="350"/>
      <c r="I6" s="127"/>
      <c r="J6" s="127"/>
      <c r="M6" s="130"/>
    </row>
  </sheetData>
  <mergeCells count="4">
    <mergeCell ref="B3:G3"/>
    <mergeCell ref="B4:G4"/>
    <mergeCell ref="B5:G5"/>
    <mergeCell ref="B6:H6"/>
  </mergeCells>
  <pageMargins left="0.23622047244094491" right="0.23622047244094491" top="0.74803149606299213" bottom="0.74803149606299213" header="0.31496062992125984" footer="0.31496062992125984"/>
  <pageSetup orientation="landscape" horizontalDpi="4294967292" r:id="rId1"/>
  <headerFooter>
    <oddHeader>&amp;LCONFIANCE INDIA&amp;CPR 2020017116 (TG Spare )&amp;R9 NOV 2023</oddHeader>
    <oddFooter>Page &amp;P of &amp;N</oddFooter>
  </headerFooter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12B92-7BB8-420C-AF89-3AA0611CB1E4}">
  <dimension ref="A1:O9"/>
  <sheetViews>
    <sheetView zoomScaleNormal="100" zoomScaleSheetLayoutView="100" workbookViewId="0"/>
  </sheetViews>
  <sheetFormatPr defaultColWidth="9.140625" defaultRowHeight="12.75" x14ac:dyDescent="0.2"/>
  <cols>
    <col min="1" max="1" width="5.85546875" style="116" bestFit="1" customWidth="1"/>
    <col min="2" max="2" width="15.85546875" style="116" customWidth="1"/>
    <col min="3" max="3" width="16.7109375" style="116" customWidth="1"/>
    <col min="4" max="4" width="46.28515625" style="116" customWidth="1"/>
    <col min="5" max="5" width="5" style="116" bestFit="1" customWidth="1"/>
    <col min="6" max="6" width="8.7109375" style="116" customWidth="1"/>
    <col min="7" max="7" width="14.5703125" style="116" customWidth="1"/>
    <col min="8" max="8" width="18.5703125" style="116" customWidth="1"/>
    <col min="9" max="9" width="14" style="127" bestFit="1" customWidth="1"/>
    <col min="10" max="10" width="11.42578125" style="77" bestFit="1" customWidth="1"/>
    <col min="11" max="11" width="12.28515625" style="128" bestFit="1" customWidth="1"/>
    <col min="12" max="12" width="9.7109375" style="116" bestFit="1" customWidth="1"/>
    <col min="13" max="13" width="14" style="116" bestFit="1" customWidth="1"/>
    <col min="14" max="15" width="12.42578125" style="116" bestFit="1" customWidth="1"/>
    <col min="16" max="16384" width="9.140625" style="116"/>
  </cols>
  <sheetData>
    <row r="1" spans="1:15" x14ac:dyDescent="0.2">
      <c r="A1" s="115" t="s">
        <v>0</v>
      </c>
      <c r="B1" s="115" t="s">
        <v>1</v>
      </c>
      <c r="C1" s="115" t="s">
        <v>5</v>
      </c>
      <c r="D1" s="115" t="s">
        <v>2</v>
      </c>
      <c r="E1" s="115" t="s">
        <v>3</v>
      </c>
      <c r="F1" s="115" t="s">
        <v>614</v>
      </c>
      <c r="G1" s="115" t="s">
        <v>615</v>
      </c>
      <c r="H1" s="115" t="s">
        <v>119</v>
      </c>
      <c r="I1" s="115" t="s">
        <v>17</v>
      </c>
      <c r="J1" s="117" t="s">
        <v>10</v>
      </c>
      <c r="K1" s="118" t="s">
        <v>110</v>
      </c>
      <c r="L1" s="116" t="s">
        <v>662</v>
      </c>
    </row>
    <row r="2" spans="1:15" ht="38.25" x14ac:dyDescent="0.2">
      <c r="A2" s="119">
        <f>ROW()-1</f>
        <v>1</v>
      </c>
      <c r="B2" s="119">
        <v>1100001706</v>
      </c>
      <c r="C2" s="119">
        <v>4000009608</v>
      </c>
      <c r="D2" s="120" t="s">
        <v>637</v>
      </c>
      <c r="E2" s="121" t="s">
        <v>634</v>
      </c>
      <c r="F2" s="121">
        <v>2</v>
      </c>
      <c r="G2" s="137">
        <f>90*1.3*I2</f>
        <v>193050</v>
      </c>
      <c r="H2" s="137">
        <f>G2*F2</f>
        <v>386100</v>
      </c>
      <c r="I2" s="133">
        <v>1650</v>
      </c>
      <c r="J2" s="135">
        <v>1525</v>
      </c>
      <c r="K2" s="135"/>
      <c r="L2" s="135">
        <v>1525</v>
      </c>
      <c r="M2" s="116">
        <f>216450*2%</f>
        <v>4329</v>
      </c>
      <c r="N2" s="149">
        <v>212121</v>
      </c>
      <c r="O2" s="149">
        <f>N2*F2</f>
        <v>424242</v>
      </c>
    </row>
    <row r="3" spans="1:15" ht="38.25" x14ac:dyDescent="0.2">
      <c r="A3" s="119">
        <f>ROW()-1</f>
        <v>2</v>
      </c>
      <c r="B3" s="119">
        <v>1100001706</v>
      </c>
      <c r="C3" s="119">
        <v>4000010631</v>
      </c>
      <c r="D3" s="120" t="s">
        <v>638</v>
      </c>
      <c r="E3" s="121" t="s">
        <v>634</v>
      </c>
      <c r="F3" s="121">
        <v>30</v>
      </c>
      <c r="G3" s="137">
        <f>I3</f>
        <v>1400</v>
      </c>
      <c r="H3" s="137">
        <f>G3*F3</f>
        <v>42000</v>
      </c>
      <c r="I3" s="139">
        <v>1400</v>
      </c>
      <c r="J3" s="135">
        <v>17</v>
      </c>
      <c r="K3" s="133">
        <v>10</v>
      </c>
      <c r="M3" s="149">
        <f>G2-M2</f>
        <v>188721</v>
      </c>
      <c r="N3" s="116">
        <v>1400</v>
      </c>
      <c r="O3" s="149">
        <f t="shared" ref="O3:O4" si="0">N3*F3</f>
        <v>42000</v>
      </c>
    </row>
    <row r="4" spans="1:15" ht="38.25" x14ac:dyDescent="0.2">
      <c r="A4" s="119">
        <f>ROW()-1</f>
        <v>3</v>
      </c>
      <c r="B4" s="119">
        <v>1100001896</v>
      </c>
      <c r="C4" s="119">
        <v>4000009637</v>
      </c>
      <c r="D4" s="120" t="s">
        <v>660</v>
      </c>
      <c r="E4" s="121" t="s">
        <v>634</v>
      </c>
      <c r="F4" s="121">
        <v>50</v>
      </c>
      <c r="G4" s="137">
        <f>I4</f>
        <v>6000</v>
      </c>
      <c r="H4" s="137">
        <f>G4*F4</f>
        <v>300000</v>
      </c>
      <c r="I4" s="139">
        <v>6000</v>
      </c>
      <c r="J4" s="132"/>
      <c r="K4" s="118"/>
      <c r="N4" s="116">
        <v>6000</v>
      </c>
      <c r="O4" s="149">
        <f t="shared" si="0"/>
        <v>300000</v>
      </c>
    </row>
    <row r="5" spans="1:15" s="128" customFormat="1" x14ac:dyDescent="0.2">
      <c r="A5" s="119">
        <f t="shared" ref="A5:A7" si="1">ROW()-1</f>
        <v>4</v>
      </c>
      <c r="B5" s="349" t="s">
        <v>7</v>
      </c>
      <c r="C5" s="349"/>
      <c r="D5" s="349"/>
      <c r="E5" s="349"/>
      <c r="F5" s="349"/>
      <c r="G5" s="349"/>
      <c r="H5" s="138">
        <f>SUM(H1:H4)</f>
        <v>728100</v>
      </c>
      <c r="I5" s="150"/>
      <c r="J5" s="77"/>
      <c r="O5" s="128">
        <f>SUM(O2:O4)</f>
        <v>766242</v>
      </c>
    </row>
    <row r="6" spans="1:15" s="128" customFormat="1" x14ac:dyDescent="0.2">
      <c r="A6" s="119">
        <f t="shared" si="1"/>
        <v>5</v>
      </c>
      <c r="B6" s="349" t="s">
        <v>661</v>
      </c>
      <c r="C6" s="349"/>
      <c r="D6" s="349"/>
      <c r="E6" s="349"/>
      <c r="F6" s="349"/>
      <c r="G6" s="349"/>
      <c r="H6" s="138">
        <f>H5*18%</f>
        <v>131058</v>
      </c>
      <c r="I6" s="150"/>
      <c r="J6" s="77"/>
      <c r="O6" s="128">
        <f>O5/H5</f>
        <v>1.0523856613102596</v>
      </c>
    </row>
    <row r="7" spans="1:15" s="128" customFormat="1" x14ac:dyDescent="0.2">
      <c r="A7" s="119">
        <f t="shared" si="1"/>
        <v>6</v>
      </c>
      <c r="B7" s="349" t="s">
        <v>8</v>
      </c>
      <c r="C7" s="349"/>
      <c r="D7" s="349"/>
      <c r="E7" s="349"/>
      <c r="F7" s="349"/>
      <c r="G7" s="349"/>
      <c r="H7" s="138">
        <f>H6+H5</f>
        <v>859158</v>
      </c>
      <c r="I7" s="127"/>
      <c r="J7" s="77"/>
    </row>
    <row r="8" spans="1:15" s="128" customFormat="1" ht="146.25" customHeight="1" x14ac:dyDescent="0.2">
      <c r="A8" s="129" t="s">
        <v>9</v>
      </c>
      <c r="B8" s="350" t="s">
        <v>631</v>
      </c>
      <c r="C8" s="350"/>
      <c r="D8" s="350"/>
      <c r="E8" s="350"/>
      <c r="F8" s="350"/>
      <c r="G8" s="350"/>
      <c r="H8" s="350"/>
      <c r="I8" s="127"/>
      <c r="J8" s="127"/>
      <c r="M8" s="130"/>
    </row>
    <row r="9" spans="1:15" x14ac:dyDescent="0.2">
      <c r="A9" s="131"/>
    </row>
  </sheetData>
  <mergeCells count="4">
    <mergeCell ref="B5:G5"/>
    <mergeCell ref="B6:G6"/>
    <mergeCell ref="B7:G7"/>
    <mergeCell ref="B8:H8"/>
  </mergeCells>
  <pageMargins left="0.23622047244094491" right="0.23622047244094491" top="0.74803149606299213" bottom="0.74803149606299213" header="0.31496062992125984" footer="0.31496062992125984"/>
  <pageSetup orientation="landscape" horizontalDpi="4294967292" r:id="rId1"/>
  <headerFooter>
    <oddHeader>&amp;LCONFIANCE INDIA&amp;CPR 2020017116 (TG Spare )&amp;R9 NOV 2023</oddHeader>
    <oddFooter>Page &amp;P of &amp;N</oddFooter>
  </headerFooter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0C983-C14D-4D79-9B51-FED56F62C0E7}">
  <dimension ref="A1:M11"/>
  <sheetViews>
    <sheetView zoomScaleNormal="100" zoomScaleSheetLayoutView="100" workbookViewId="0">
      <selection activeCell="K7" sqref="K7"/>
    </sheetView>
  </sheetViews>
  <sheetFormatPr defaultColWidth="9.140625" defaultRowHeight="12.75" x14ac:dyDescent="0.2"/>
  <cols>
    <col min="1" max="1" width="5.85546875" style="116" bestFit="1" customWidth="1"/>
    <col min="2" max="2" width="15.85546875" style="116" customWidth="1"/>
    <col min="3" max="3" width="16.7109375" style="116" customWidth="1"/>
    <col min="4" max="4" width="46.28515625" style="116" customWidth="1"/>
    <col min="5" max="5" width="5" style="116" bestFit="1" customWidth="1"/>
    <col min="6" max="6" width="8.7109375" style="116" customWidth="1"/>
    <col min="7" max="7" width="14.5703125" style="116" customWidth="1"/>
    <col min="8" max="8" width="16.140625" style="116" customWidth="1"/>
    <col min="9" max="9" width="14" style="127" bestFit="1" customWidth="1"/>
    <col min="10" max="10" width="11.42578125" style="77" bestFit="1" customWidth="1"/>
    <col min="11" max="11" width="12.28515625" style="128" bestFit="1" customWidth="1"/>
    <col min="12" max="12" width="9.7109375" style="116" bestFit="1" customWidth="1"/>
    <col min="13" max="13" width="14" style="116" bestFit="1" customWidth="1"/>
    <col min="14" max="15" width="12.42578125" style="116" bestFit="1" customWidth="1"/>
    <col min="16" max="16384" width="9.140625" style="116"/>
  </cols>
  <sheetData>
    <row r="1" spans="1:13" x14ac:dyDescent="0.2">
      <c r="A1" s="115" t="s">
        <v>0</v>
      </c>
      <c r="B1" s="115" t="s">
        <v>1</v>
      </c>
      <c r="C1" s="115" t="s">
        <v>5</v>
      </c>
      <c r="D1" s="115" t="s">
        <v>2</v>
      </c>
      <c r="E1" s="115" t="s">
        <v>3</v>
      </c>
      <c r="F1" s="115" t="s">
        <v>614</v>
      </c>
      <c r="G1" s="115" t="s">
        <v>615</v>
      </c>
      <c r="H1" s="115" t="s">
        <v>119</v>
      </c>
      <c r="I1" s="115" t="s">
        <v>17</v>
      </c>
      <c r="J1" s="117" t="s">
        <v>696</v>
      </c>
      <c r="K1" s="118"/>
    </row>
    <row r="2" spans="1:13" ht="38.25" x14ac:dyDescent="0.2">
      <c r="A2" s="119">
        <f>ROW()-1</f>
        <v>1</v>
      </c>
      <c r="B2" s="148">
        <v>100569</v>
      </c>
      <c r="C2" s="119" t="s">
        <v>635</v>
      </c>
      <c r="D2" s="120" t="s">
        <v>695</v>
      </c>
      <c r="E2" s="121" t="s">
        <v>619</v>
      </c>
      <c r="F2" s="121">
        <v>4</v>
      </c>
      <c r="G2" s="137">
        <f t="shared" ref="G2:G3" si="0">95*1.3*I2</f>
        <v>8645</v>
      </c>
      <c r="H2" s="137">
        <f>G2*F2</f>
        <v>34580</v>
      </c>
      <c r="I2" s="135">
        <v>70</v>
      </c>
      <c r="J2" s="135">
        <v>70</v>
      </c>
      <c r="K2" s="133"/>
    </row>
    <row r="3" spans="1:13" ht="63.75" x14ac:dyDescent="0.2">
      <c r="A3" s="119">
        <f>ROW()-1</f>
        <v>2</v>
      </c>
      <c r="B3" s="119">
        <v>100716</v>
      </c>
      <c r="C3" s="119" t="s">
        <v>635</v>
      </c>
      <c r="D3" s="120" t="s">
        <v>717</v>
      </c>
      <c r="E3" s="121" t="s">
        <v>619</v>
      </c>
      <c r="F3" s="121">
        <v>2</v>
      </c>
      <c r="G3" s="137">
        <f t="shared" si="0"/>
        <v>54957.5</v>
      </c>
      <c r="H3" s="137">
        <f>G3*F3</f>
        <v>109915</v>
      </c>
      <c r="I3" s="135">
        <v>445</v>
      </c>
      <c r="J3" s="135">
        <v>400</v>
      </c>
      <c r="K3" s="118"/>
    </row>
    <row r="4" spans="1:13" s="128" customFormat="1" x14ac:dyDescent="0.2">
      <c r="A4" s="119">
        <f t="shared" ref="A4:A6" si="1">ROW()-1</f>
        <v>3</v>
      </c>
      <c r="B4" s="349" t="s">
        <v>7</v>
      </c>
      <c r="C4" s="349"/>
      <c r="D4" s="349"/>
      <c r="E4" s="349"/>
      <c r="F4" s="349"/>
      <c r="G4" s="349"/>
      <c r="H4" s="138">
        <f>SUM(H1:H3)</f>
        <v>144495</v>
      </c>
      <c r="I4" s="127" t="s">
        <v>718</v>
      </c>
      <c r="J4" s="77"/>
    </row>
    <row r="5" spans="1:13" s="128" customFormat="1" x14ac:dyDescent="0.2">
      <c r="A5" s="119">
        <f t="shared" si="1"/>
        <v>4</v>
      </c>
      <c r="B5" s="349" t="s">
        <v>661</v>
      </c>
      <c r="C5" s="349"/>
      <c r="D5" s="349"/>
      <c r="E5" s="349"/>
      <c r="F5" s="349"/>
      <c r="G5" s="349"/>
      <c r="H5" s="138">
        <f>H4*18%</f>
        <v>26009.1</v>
      </c>
      <c r="I5" s="127"/>
      <c r="J5" s="77"/>
    </row>
    <row r="6" spans="1:13" s="128" customFormat="1" x14ac:dyDescent="0.2">
      <c r="A6" s="119">
        <f t="shared" si="1"/>
        <v>5</v>
      </c>
      <c r="B6" s="349" t="s">
        <v>8</v>
      </c>
      <c r="C6" s="349"/>
      <c r="D6" s="349"/>
      <c r="E6" s="349"/>
      <c r="F6" s="349"/>
      <c r="G6" s="349"/>
      <c r="H6" s="138">
        <f>H5+H4</f>
        <v>170504.1</v>
      </c>
      <c r="I6" s="127"/>
      <c r="J6" s="77"/>
    </row>
    <row r="7" spans="1:13" s="128" customFormat="1" ht="146.25" customHeight="1" x14ac:dyDescent="0.2">
      <c r="A7" s="129" t="s">
        <v>9</v>
      </c>
      <c r="B7" s="350" t="s">
        <v>631</v>
      </c>
      <c r="C7" s="350"/>
      <c r="D7" s="350"/>
      <c r="E7" s="350"/>
      <c r="F7" s="350"/>
      <c r="G7" s="350"/>
      <c r="H7" s="350"/>
      <c r="I7" s="127"/>
      <c r="J7" s="127"/>
      <c r="M7" s="130"/>
    </row>
    <row r="8" spans="1:13" x14ac:dyDescent="0.2">
      <c r="A8" s="131"/>
    </row>
    <row r="10" spans="1:13" x14ac:dyDescent="0.2">
      <c r="A10" s="115" t="s">
        <v>0</v>
      </c>
      <c r="B10" s="115" t="s">
        <v>1</v>
      </c>
      <c r="C10" s="115" t="s">
        <v>5</v>
      </c>
      <c r="D10" s="115" t="s">
        <v>2</v>
      </c>
      <c r="E10" s="115" t="s">
        <v>3</v>
      </c>
      <c r="F10" s="115" t="s">
        <v>614</v>
      </c>
      <c r="G10" s="115" t="s">
        <v>615</v>
      </c>
      <c r="H10" s="115" t="s">
        <v>119</v>
      </c>
      <c r="I10" s="115" t="s">
        <v>17</v>
      </c>
      <c r="J10" s="117" t="s">
        <v>696</v>
      </c>
      <c r="K10" s="118"/>
    </row>
    <row r="11" spans="1:13" ht="51" x14ac:dyDescent="0.2">
      <c r="A11" s="119">
        <f>ROW()-1</f>
        <v>10</v>
      </c>
      <c r="B11" s="148">
        <v>100569</v>
      </c>
      <c r="C11" s="119" t="s">
        <v>635</v>
      </c>
      <c r="D11" s="120" t="s">
        <v>694</v>
      </c>
      <c r="E11" s="121" t="s">
        <v>619</v>
      </c>
      <c r="F11" s="121">
        <v>2</v>
      </c>
      <c r="G11" s="137">
        <f>95*1.3*I11</f>
        <v>5557.5</v>
      </c>
      <c r="H11" s="137">
        <f>G11*F11</f>
        <v>11115</v>
      </c>
      <c r="I11" s="135">
        <v>45</v>
      </c>
      <c r="J11" s="135">
        <v>45</v>
      </c>
      <c r="K11" s="135" t="s">
        <v>719</v>
      </c>
      <c r="L11" s="135" t="s">
        <v>720</v>
      </c>
    </row>
  </sheetData>
  <mergeCells count="4">
    <mergeCell ref="B4:G4"/>
    <mergeCell ref="B5:G5"/>
    <mergeCell ref="B6:G6"/>
    <mergeCell ref="B7:H7"/>
  </mergeCells>
  <pageMargins left="0.23622047244094491" right="0.23622047244094491" top="0.74803149606299213" bottom="0.74803149606299213" header="0.31496062992125984" footer="0.31496062992125984"/>
  <pageSetup orientation="landscape" horizontalDpi="4294967292" r:id="rId1"/>
  <headerFooter>
    <oddHeader>&amp;LCONFIANCE INDIA&amp;CPR 2020017116 (TG Spare )&amp;R9 NOV 2023</oddHeader>
    <oddFooter>Page &amp;P of &amp;N</oddFooter>
  </headerFooter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850A7-D2E5-48F8-839D-CF053C5D41D0}">
  <dimension ref="A1:M7"/>
  <sheetViews>
    <sheetView zoomScaleNormal="100" zoomScaleSheetLayoutView="100" workbookViewId="0">
      <selection activeCell="H6" sqref="H6"/>
    </sheetView>
  </sheetViews>
  <sheetFormatPr defaultColWidth="9.140625" defaultRowHeight="12.75" x14ac:dyDescent="0.2"/>
  <cols>
    <col min="1" max="1" width="5.85546875" style="116" bestFit="1" customWidth="1"/>
    <col min="2" max="2" width="11" style="116" bestFit="1" customWidth="1"/>
    <col min="3" max="3" width="15.5703125" style="116" customWidth="1"/>
    <col min="4" max="4" width="46.85546875" style="116" customWidth="1"/>
    <col min="5" max="5" width="5" style="116" bestFit="1" customWidth="1"/>
    <col min="6" max="6" width="8.7109375" style="116" customWidth="1"/>
    <col min="7" max="7" width="14.5703125" style="116" customWidth="1"/>
    <col min="8" max="8" width="18.5703125" style="116" customWidth="1"/>
    <col min="9" max="9" width="14" style="127" bestFit="1" customWidth="1"/>
    <col min="10" max="10" width="11.42578125" style="77" bestFit="1" customWidth="1"/>
    <col min="11" max="11" width="12.28515625" style="128" bestFit="1" customWidth="1"/>
    <col min="12" max="12" width="9.140625" style="116"/>
    <col min="13" max="13" width="14" style="116" bestFit="1" customWidth="1"/>
    <col min="14" max="15" width="12.42578125" style="116" bestFit="1" customWidth="1"/>
    <col min="16" max="16384" width="9.140625" style="116"/>
  </cols>
  <sheetData>
    <row r="1" spans="1:13" x14ac:dyDescent="0.2">
      <c r="A1" s="115" t="s">
        <v>0</v>
      </c>
      <c r="B1" s="115" t="s">
        <v>1</v>
      </c>
      <c r="C1" s="115" t="s">
        <v>5</v>
      </c>
      <c r="D1" s="115" t="s">
        <v>2</v>
      </c>
      <c r="E1" s="115" t="s">
        <v>3</v>
      </c>
      <c r="F1" s="115" t="s">
        <v>614</v>
      </c>
      <c r="G1" s="115" t="s">
        <v>615</v>
      </c>
      <c r="H1" s="115" t="s">
        <v>119</v>
      </c>
      <c r="I1" s="115" t="s">
        <v>17</v>
      </c>
      <c r="J1" s="117" t="s">
        <v>14</v>
      </c>
      <c r="K1" s="118" t="s">
        <v>14</v>
      </c>
    </row>
    <row r="2" spans="1:13" x14ac:dyDescent="0.2">
      <c r="A2" s="119">
        <f>ROW()-1</f>
        <v>1</v>
      </c>
      <c r="B2" s="119">
        <v>1100002072</v>
      </c>
      <c r="C2" s="119">
        <v>3000001137</v>
      </c>
      <c r="D2" s="120" t="s">
        <v>228</v>
      </c>
      <c r="E2" s="121" t="s">
        <v>619</v>
      </c>
      <c r="F2" s="121">
        <v>12</v>
      </c>
      <c r="G2" s="137">
        <f>I2</f>
        <v>9300</v>
      </c>
      <c r="H2" s="137">
        <f>G2*F2</f>
        <v>111600</v>
      </c>
      <c r="I2" s="139">
        <v>9300</v>
      </c>
      <c r="J2" s="136">
        <v>65</v>
      </c>
      <c r="K2" s="151">
        <v>420</v>
      </c>
    </row>
    <row r="3" spans="1:13" x14ac:dyDescent="0.2">
      <c r="A3" s="119">
        <f>ROW()-1</f>
        <v>2</v>
      </c>
      <c r="B3" s="119">
        <v>1100002072</v>
      </c>
      <c r="C3" s="119">
        <v>4000001245</v>
      </c>
      <c r="D3" s="120" t="s">
        <v>697</v>
      </c>
      <c r="E3" s="121" t="s">
        <v>619</v>
      </c>
      <c r="F3" s="121">
        <v>8</v>
      </c>
      <c r="G3" s="137">
        <f>I3</f>
        <v>11000</v>
      </c>
      <c r="H3" s="137">
        <f>G3*F3</f>
        <v>88000</v>
      </c>
      <c r="I3" s="139">
        <v>11000</v>
      </c>
      <c r="J3" s="136">
        <v>85</v>
      </c>
      <c r="K3" s="151">
        <v>585</v>
      </c>
    </row>
    <row r="4" spans="1:13" s="128" customFormat="1" x14ac:dyDescent="0.2">
      <c r="A4" s="119">
        <f t="shared" ref="A4:A6" si="0">ROW()-1</f>
        <v>3</v>
      </c>
      <c r="B4" s="349" t="s">
        <v>7</v>
      </c>
      <c r="C4" s="349"/>
      <c r="D4" s="349"/>
      <c r="E4" s="349"/>
      <c r="F4" s="349"/>
      <c r="G4" s="349"/>
      <c r="H4" s="138">
        <f>SUM(H2:H3)</f>
        <v>199600</v>
      </c>
      <c r="I4" s="127"/>
      <c r="J4" s="77"/>
    </row>
    <row r="5" spans="1:13" s="128" customFormat="1" x14ac:dyDescent="0.2">
      <c r="A5" s="119">
        <f t="shared" si="0"/>
        <v>4</v>
      </c>
      <c r="B5" s="349" t="s">
        <v>649</v>
      </c>
      <c r="C5" s="349"/>
      <c r="D5" s="349"/>
      <c r="E5" s="349"/>
      <c r="F5" s="349"/>
      <c r="G5" s="349"/>
      <c r="H5" s="138">
        <f>H4*18%</f>
        <v>35928</v>
      </c>
      <c r="I5" s="127"/>
      <c r="J5" s="77"/>
    </row>
    <row r="6" spans="1:13" s="128" customFormat="1" x14ac:dyDescent="0.2">
      <c r="A6" s="119">
        <f t="shared" si="0"/>
        <v>5</v>
      </c>
      <c r="B6" s="349" t="s">
        <v>8</v>
      </c>
      <c r="C6" s="349"/>
      <c r="D6" s="349"/>
      <c r="E6" s="349"/>
      <c r="F6" s="349"/>
      <c r="G6" s="349"/>
      <c r="H6" s="138">
        <f>H5+H4</f>
        <v>235528</v>
      </c>
      <c r="I6" s="127"/>
      <c r="J6" s="77"/>
    </row>
    <row r="7" spans="1:13" s="128" customFormat="1" ht="147.75" customHeight="1" x14ac:dyDescent="0.2">
      <c r="A7" s="129" t="s">
        <v>9</v>
      </c>
      <c r="B7" s="350" t="s">
        <v>631</v>
      </c>
      <c r="C7" s="350"/>
      <c r="D7" s="350"/>
      <c r="E7" s="350"/>
      <c r="F7" s="350"/>
      <c r="G7" s="350"/>
      <c r="H7" s="350"/>
      <c r="I7" s="127"/>
      <c r="J7" s="127"/>
      <c r="M7" s="130"/>
    </row>
  </sheetData>
  <mergeCells count="4">
    <mergeCell ref="B4:G4"/>
    <mergeCell ref="B5:G5"/>
    <mergeCell ref="B6:G6"/>
    <mergeCell ref="B7:H7"/>
  </mergeCells>
  <pageMargins left="0.23622047244094491" right="0.23622047244094491" top="0.74803149606299213" bottom="0.74803149606299213" header="0.31496062992125984" footer="0.31496062992125984"/>
  <pageSetup orientation="landscape" horizontalDpi="4294967292" r:id="rId1"/>
  <headerFooter>
    <oddHeader>&amp;LCONFIANCE INDIA&amp;CPR 2020017116 (TG Spare )&amp;R9 NOV 2023</oddHeader>
    <oddFooter>Page &amp;P of &amp;N</oddFooter>
  </headerFooter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3E871-7772-4487-8492-F44122EB2281}">
  <dimension ref="A1:M30"/>
  <sheetViews>
    <sheetView zoomScaleNormal="100" zoomScaleSheetLayoutView="100" workbookViewId="0"/>
  </sheetViews>
  <sheetFormatPr defaultColWidth="9.140625" defaultRowHeight="12.75" x14ac:dyDescent="0.2"/>
  <cols>
    <col min="1" max="1" width="5.85546875" style="116" bestFit="1" customWidth="1"/>
    <col min="2" max="2" width="11" style="116" bestFit="1" customWidth="1"/>
    <col min="3" max="3" width="15.5703125" style="116" customWidth="1"/>
    <col min="4" max="4" width="46.85546875" style="116" customWidth="1"/>
    <col min="5" max="5" width="5" style="116" bestFit="1" customWidth="1"/>
    <col min="6" max="6" width="8.7109375" style="116" customWidth="1"/>
    <col min="7" max="7" width="14.5703125" style="116" customWidth="1"/>
    <col min="8" max="8" width="18.5703125" style="116" customWidth="1"/>
    <col min="9" max="9" width="14" style="127" bestFit="1" customWidth="1"/>
    <col min="10" max="10" width="11.42578125" style="77" bestFit="1" customWidth="1"/>
    <col min="11" max="11" width="12.28515625" style="128" bestFit="1" customWidth="1"/>
    <col min="12" max="12" width="9.140625" style="116"/>
    <col min="13" max="13" width="14" style="116" bestFit="1" customWidth="1"/>
    <col min="14" max="15" width="12.42578125" style="116" bestFit="1" customWidth="1"/>
    <col min="16" max="16384" width="9.140625" style="116"/>
  </cols>
  <sheetData>
    <row r="1" spans="1:13" x14ac:dyDescent="0.2">
      <c r="A1" s="115" t="s">
        <v>0</v>
      </c>
      <c r="B1" s="115" t="s">
        <v>1</v>
      </c>
      <c r="C1" s="115" t="s">
        <v>5</v>
      </c>
      <c r="D1" s="115" t="s">
        <v>2</v>
      </c>
      <c r="E1" s="115" t="s">
        <v>3</v>
      </c>
      <c r="F1" s="115" t="s">
        <v>614</v>
      </c>
      <c r="G1" s="115" t="s">
        <v>615</v>
      </c>
      <c r="H1" s="115" t="s">
        <v>119</v>
      </c>
      <c r="I1" s="115" t="s">
        <v>17</v>
      </c>
      <c r="J1" s="117" t="s">
        <v>14</v>
      </c>
      <c r="K1" s="118" t="s">
        <v>784</v>
      </c>
    </row>
    <row r="2" spans="1:13" ht="76.5" x14ac:dyDescent="0.2">
      <c r="A2" s="119">
        <f>ROW()-1</f>
        <v>1</v>
      </c>
      <c r="B2" s="119">
        <v>1100002028</v>
      </c>
      <c r="C2" s="119">
        <v>4000007087</v>
      </c>
      <c r="D2" s="120" t="s">
        <v>698</v>
      </c>
      <c r="E2" s="121" t="s">
        <v>619</v>
      </c>
      <c r="F2" s="121">
        <v>4</v>
      </c>
      <c r="G2" s="137">
        <f>I2</f>
        <v>0</v>
      </c>
      <c r="H2" s="137"/>
      <c r="I2" s="139"/>
      <c r="J2" s="136"/>
      <c r="K2" s="134"/>
    </row>
    <row r="3" spans="1:13" s="128" customFormat="1" x14ac:dyDescent="0.2">
      <c r="A3" s="119">
        <f t="shared" ref="A3:A5" si="0">ROW()-1</f>
        <v>2</v>
      </c>
      <c r="B3" s="349" t="s">
        <v>7</v>
      </c>
      <c r="C3" s="349"/>
      <c r="D3" s="349"/>
      <c r="E3" s="349"/>
      <c r="F3" s="349"/>
      <c r="G3" s="349"/>
      <c r="H3" s="163">
        <f>J3</f>
        <v>38000</v>
      </c>
      <c r="I3" s="160"/>
      <c r="J3" s="164">
        <v>38000</v>
      </c>
      <c r="K3" s="165" t="s">
        <v>785</v>
      </c>
    </row>
    <row r="4" spans="1:13" s="128" customFormat="1" x14ac:dyDescent="0.2">
      <c r="A4" s="119">
        <f t="shared" si="0"/>
        <v>3</v>
      </c>
      <c r="B4" s="349" t="s">
        <v>649</v>
      </c>
      <c r="C4" s="349"/>
      <c r="D4" s="349"/>
      <c r="E4" s="349"/>
      <c r="F4" s="349"/>
      <c r="G4" s="349"/>
      <c r="H4" s="138"/>
      <c r="I4" s="127"/>
      <c r="J4" s="77"/>
    </row>
    <row r="5" spans="1:13" s="128" customFormat="1" x14ac:dyDescent="0.2">
      <c r="A5" s="119">
        <f t="shared" si="0"/>
        <v>4</v>
      </c>
      <c r="B5" s="349" t="s">
        <v>8</v>
      </c>
      <c r="C5" s="349"/>
      <c r="D5" s="349"/>
      <c r="E5" s="349"/>
      <c r="F5" s="349"/>
      <c r="G5" s="349"/>
      <c r="H5" s="138"/>
      <c r="I5" s="127"/>
      <c r="J5" s="77"/>
    </row>
    <row r="6" spans="1:13" s="128" customFormat="1" ht="147.75" customHeight="1" x14ac:dyDescent="0.2">
      <c r="A6" s="129" t="s">
        <v>9</v>
      </c>
      <c r="B6" s="350" t="s">
        <v>631</v>
      </c>
      <c r="C6" s="350"/>
      <c r="D6" s="350"/>
      <c r="E6" s="350"/>
      <c r="F6" s="350"/>
      <c r="G6" s="350"/>
      <c r="H6" s="350"/>
      <c r="I6" s="127"/>
      <c r="J6" s="127"/>
      <c r="M6" s="130"/>
    </row>
    <row r="11" spans="1:13" x14ac:dyDescent="0.2">
      <c r="H11" s="159">
        <f>90*1.3*J11</f>
        <v>327600</v>
      </c>
      <c r="I11" s="160"/>
      <c r="J11" s="161">
        <v>2800</v>
      </c>
      <c r="K11" s="165" t="s">
        <v>785</v>
      </c>
    </row>
    <row r="15" spans="1:13" x14ac:dyDescent="0.2">
      <c r="K15" s="165" t="s">
        <v>252</v>
      </c>
    </row>
    <row r="16" spans="1:13" x14ac:dyDescent="0.2">
      <c r="K16" s="165" t="s">
        <v>786</v>
      </c>
    </row>
    <row r="22" spans="11:11" x14ac:dyDescent="0.2">
      <c r="K22" s="128" t="s">
        <v>787</v>
      </c>
    </row>
    <row r="23" spans="11:11" x14ac:dyDescent="0.2">
      <c r="K23" s="128" t="s">
        <v>787</v>
      </c>
    </row>
    <row r="27" spans="11:11" x14ac:dyDescent="0.2">
      <c r="K27" s="165" t="s">
        <v>788</v>
      </c>
    </row>
    <row r="28" spans="11:11" x14ac:dyDescent="0.2">
      <c r="K28" s="165" t="s">
        <v>788</v>
      </c>
    </row>
    <row r="29" spans="11:11" x14ac:dyDescent="0.2">
      <c r="K29" s="165" t="s">
        <v>788</v>
      </c>
    </row>
    <row r="30" spans="11:11" x14ac:dyDescent="0.2">
      <c r="K30" s="165" t="s">
        <v>788</v>
      </c>
    </row>
  </sheetData>
  <mergeCells count="4">
    <mergeCell ref="B3:G3"/>
    <mergeCell ref="B4:G4"/>
    <mergeCell ref="B5:G5"/>
    <mergeCell ref="B6:H6"/>
  </mergeCells>
  <pageMargins left="0.23622047244094491" right="0.23622047244094491" top="0.74803149606299213" bottom="0.74803149606299213" header="0.31496062992125984" footer="0.31496062992125984"/>
  <pageSetup orientation="landscape" horizontalDpi="4294967292" r:id="rId1"/>
  <headerFooter>
    <oddHeader>&amp;LCONFIANCE INDIA&amp;CPR 2020017116 (TG Spare )&amp;R9 NOV 2023</oddHeader>
    <oddFooter>Page &amp;P of &amp;N</oddFooter>
  </headerFooter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E8B0F-CE3E-4E8B-87D8-5A99A75693F0}">
  <dimension ref="A1:M10"/>
  <sheetViews>
    <sheetView topLeftCell="A4" zoomScaleNormal="100" zoomScaleSheetLayoutView="100" workbookViewId="0">
      <selection sqref="A1:H10"/>
    </sheetView>
  </sheetViews>
  <sheetFormatPr defaultColWidth="9.140625" defaultRowHeight="12.75" x14ac:dyDescent="0.2"/>
  <cols>
    <col min="1" max="1" width="5.85546875" style="116" bestFit="1" customWidth="1"/>
    <col min="2" max="2" width="11" style="116" bestFit="1" customWidth="1"/>
    <col min="3" max="3" width="15.5703125" style="116" customWidth="1"/>
    <col min="4" max="4" width="46.85546875" style="116" customWidth="1"/>
    <col min="5" max="5" width="5" style="116" bestFit="1" customWidth="1"/>
    <col min="6" max="6" width="8.7109375" style="116" customWidth="1"/>
    <col min="7" max="7" width="14.5703125" style="116" customWidth="1"/>
    <col min="8" max="8" width="18.5703125" style="116" customWidth="1"/>
    <col min="9" max="9" width="14" style="127" bestFit="1" customWidth="1"/>
    <col min="10" max="10" width="11.42578125" style="77" bestFit="1" customWidth="1"/>
    <col min="11" max="11" width="36.85546875" style="128" bestFit="1" customWidth="1"/>
    <col min="12" max="12" width="11.140625" style="116" bestFit="1" customWidth="1"/>
    <col min="13" max="13" width="14" style="116" bestFit="1" customWidth="1"/>
    <col min="14" max="15" width="12.42578125" style="116" bestFit="1" customWidth="1"/>
    <col min="16" max="16384" width="9.140625" style="116"/>
  </cols>
  <sheetData>
    <row r="1" spans="1:13" x14ac:dyDescent="0.2">
      <c r="A1" s="115" t="s">
        <v>0</v>
      </c>
      <c r="B1" s="115" t="s">
        <v>1</v>
      </c>
      <c r="C1" s="115" t="s">
        <v>5</v>
      </c>
      <c r="D1" s="115" t="s">
        <v>2</v>
      </c>
      <c r="E1" s="115" t="s">
        <v>3</v>
      </c>
      <c r="F1" s="115" t="s">
        <v>614</v>
      </c>
      <c r="G1" s="115" t="s">
        <v>615</v>
      </c>
      <c r="H1" s="115" t="s">
        <v>119</v>
      </c>
      <c r="I1" s="115" t="s">
        <v>17</v>
      </c>
      <c r="J1" s="117" t="s">
        <v>110</v>
      </c>
      <c r="K1" s="118" t="s">
        <v>724</v>
      </c>
      <c r="L1" s="116" t="s">
        <v>725</v>
      </c>
    </row>
    <row r="2" spans="1:13" ht="51" x14ac:dyDescent="0.2">
      <c r="A2" s="119">
        <f>ROW()-1</f>
        <v>1</v>
      </c>
      <c r="B2" s="119">
        <v>1100002135</v>
      </c>
      <c r="C2" s="119">
        <v>4000010707</v>
      </c>
      <c r="D2" s="120" t="s">
        <v>699</v>
      </c>
      <c r="E2" s="121" t="s">
        <v>619</v>
      </c>
      <c r="F2" s="121">
        <v>25</v>
      </c>
      <c r="G2" s="137">
        <f>I2</f>
        <v>13700</v>
      </c>
      <c r="H2" s="137">
        <f>G2*F2</f>
        <v>342500</v>
      </c>
      <c r="I2" s="139">
        <v>13700</v>
      </c>
      <c r="J2" s="136">
        <v>65</v>
      </c>
      <c r="K2" s="134" t="s">
        <v>703</v>
      </c>
    </row>
    <row r="3" spans="1:13" ht="38.25" x14ac:dyDescent="0.2">
      <c r="A3" s="119">
        <f t="shared" ref="A3:A6" si="0">ROW()-1</f>
        <v>2</v>
      </c>
      <c r="B3" s="119">
        <v>1100002135</v>
      </c>
      <c r="C3" s="119">
        <v>4000010963</v>
      </c>
      <c r="D3" s="120" t="s">
        <v>700</v>
      </c>
      <c r="E3" s="121" t="s">
        <v>619</v>
      </c>
      <c r="F3" s="121">
        <v>1</v>
      </c>
      <c r="G3" s="137">
        <f>I3</f>
        <v>44492</v>
      </c>
      <c r="H3" s="137">
        <f>G3*F3</f>
        <v>44492</v>
      </c>
      <c r="I3" s="155">
        <v>44492</v>
      </c>
      <c r="J3" s="136">
        <v>400</v>
      </c>
      <c r="K3" s="152">
        <v>44491.199999999997</v>
      </c>
      <c r="L3" s="154">
        <v>44491.199999999997</v>
      </c>
    </row>
    <row r="4" spans="1:13" ht="38.25" x14ac:dyDescent="0.2">
      <c r="A4" s="119">
        <f t="shared" si="0"/>
        <v>3</v>
      </c>
      <c r="B4" s="119">
        <v>1100002135</v>
      </c>
      <c r="C4" s="119">
        <v>4000010987</v>
      </c>
      <c r="D4" s="120" t="s">
        <v>701</v>
      </c>
      <c r="E4" s="121" t="s">
        <v>619</v>
      </c>
      <c r="F4" s="121">
        <v>4</v>
      </c>
      <c r="G4" s="137">
        <f t="shared" ref="G4:G5" si="1">I4</f>
        <v>54502</v>
      </c>
      <c r="H4" s="137">
        <f>G4*F4</f>
        <v>218008</v>
      </c>
      <c r="I4" s="155">
        <v>54502</v>
      </c>
      <c r="J4" s="136">
        <v>490</v>
      </c>
      <c r="K4" s="152">
        <v>218006.88</v>
      </c>
      <c r="L4" s="154">
        <v>54501.72</v>
      </c>
    </row>
    <row r="5" spans="1:13" ht="38.25" x14ac:dyDescent="0.2">
      <c r="A5" s="119">
        <f t="shared" si="0"/>
        <v>4</v>
      </c>
      <c r="B5" s="119">
        <v>1100002135</v>
      </c>
      <c r="C5" s="119">
        <v>4000013850</v>
      </c>
      <c r="D5" s="120" t="s">
        <v>702</v>
      </c>
      <c r="E5" s="121" t="s">
        <v>619</v>
      </c>
      <c r="F5" s="121">
        <v>6</v>
      </c>
      <c r="G5" s="137">
        <f t="shared" si="1"/>
        <v>46716</v>
      </c>
      <c r="H5" s="137">
        <f>G5*F5</f>
        <v>280296</v>
      </c>
      <c r="I5" s="155">
        <v>46716</v>
      </c>
      <c r="J5" s="136">
        <v>400</v>
      </c>
      <c r="K5" s="152">
        <v>280294.56</v>
      </c>
      <c r="L5" s="154">
        <v>46715.76</v>
      </c>
    </row>
    <row r="6" spans="1:13" ht="51" x14ac:dyDescent="0.2">
      <c r="A6" s="119">
        <f t="shared" si="0"/>
        <v>5</v>
      </c>
      <c r="B6" s="119">
        <v>1100002135</v>
      </c>
      <c r="C6" s="119">
        <v>4000011547</v>
      </c>
      <c r="D6" s="120" t="s">
        <v>715</v>
      </c>
      <c r="E6" s="121" t="s">
        <v>619</v>
      </c>
      <c r="F6" s="121">
        <v>10</v>
      </c>
      <c r="G6" s="137">
        <f t="shared" ref="G6" si="2">93*1.3*I6</f>
        <v>14508</v>
      </c>
      <c r="H6" s="137">
        <f>G6*F6</f>
        <v>145080</v>
      </c>
      <c r="I6" s="136">
        <v>120</v>
      </c>
      <c r="J6" s="136">
        <v>1990</v>
      </c>
      <c r="K6" s="134"/>
    </row>
    <row r="7" spans="1:13" s="128" customFormat="1" x14ac:dyDescent="0.2">
      <c r="A7" s="119">
        <f t="shared" ref="A7:A9" si="3">ROW()-1</f>
        <v>6</v>
      </c>
      <c r="B7" s="349" t="s">
        <v>7</v>
      </c>
      <c r="C7" s="349"/>
      <c r="D7" s="349"/>
      <c r="E7" s="349"/>
      <c r="F7" s="349"/>
      <c r="G7" s="349"/>
      <c r="H7" s="138">
        <f>SUM(H2:H6)</f>
        <v>1030376</v>
      </c>
      <c r="I7" s="127" t="s">
        <v>716</v>
      </c>
      <c r="J7" s="77"/>
    </row>
    <row r="8" spans="1:13" s="128" customFormat="1" x14ac:dyDescent="0.2">
      <c r="A8" s="119">
        <f t="shared" si="3"/>
        <v>7</v>
      </c>
      <c r="B8" s="349" t="s">
        <v>649</v>
      </c>
      <c r="C8" s="349"/>
      <c r="D8" s="349"/>
      <c r="E8" s="349"/>
      <c r="F8" s="349"/>
      <c r="G8" s="349"/>
      <c r="H8" s="138">
        <f>H7*18%</f>
        <v>185467.68</v>
      </c>
      <c r="I8" s="127"/>
      <c r="J8" s="77"/>
    </row>
    <row r="9" spans="1:13" s="128" customFormat="1" x14ac:dyDescent="0.2">
      <c r="A9" s="119">
        <f t="shared" si="3"/>
        <v>8</v>
      </c>
      <c r="B9" s="349" t="s">
        <v>8</v>
      </c>
      <c r="C9" s="349"/>
      <c r="D9" s="349"/>
      <c r="E9" s="349"/>
      <c r="F9" s="349"/>
      <c r="G9" s="349"/>
      <c r="H9" s="138">
        <f>H8+H7</f>
        <v>1215843.68</v>
      </c>
      <c r="I9" s="127"/>
      <c r="J9" s="77"/>
    </row>
    <row r="10" spans="1:13" s="128" customFormat="1" ht="147.75" customHeight="1" x14ac:dyDescent="0.2">
      <c r="A10" s="129" t="s">
        <v>9</v>
      </c>
      <c r="B10" s="350" t="s">
        <v>631</v>
      </c>
      <c r="C10" s="350"/>
      <c r="D10" s="350"/>
      <c r="E10" s="350"/>
      <c r="F10" s="350"/>
      <c r="G10" s="350"/>
      <c r="H10" s="350"/>
      <c r="I10" s="127"/>
      <c r="J10" s="127"/>
      <c r="M10" s="130"/>
    </row>
  </sheetData>
  <mergeCells count="4">
    <mergeCell ref="B7:G7"/>
    <mergeCell ref="B8:G8"/>
    <mergeCell ref="B9:G9"/>
    <mergeCell ref="B10:H10"/>
  </mergeCells>
  <pageMargins left="0.23622047244094491" right="0.23622047244094491" top="0.74803149606299213" bottom="0.74803149606299213" header="0.31496062992125984" footer="0.31496062992125984"/>
  <pageSetup orientation="landscape" horizontalDpi="4294967292" r:id="rId1"/>
  <headerFooter>
    <oddHeader>&amp;LCONFIANCE INDIA&amp;CPR 2020017116 (TG Spare )&amp;R9 NOV 2023</oddHeader>
    <oddFooter>Page &amp;P of &amp;N</oddFooter>
  </headerFooter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1BEF9-C89D-4258-BD09-6AD1963101D7}">
  <dimension ref="A1:M6"/>
  <sheetViews>
    <sheetView zoomScaleNormal="100" zoomScaleSheetLayoutView="100" workbookViewId="0">
      <selection sqref="A1:H6"/>
    </sheetView>
  </sheetViews>
  <sheetFormatPr defaultColWidth="9.140625" defaultRowHeight="12.75" x14ac:dyDescent="0.2"/>
  <cols>
    <col min="1" max="1" width="5.85546875" style="116" bestFit="1" customWidth="1"/>
    <col min="2" max="2" width="11" style="116" bestFit="1" customWidth="1"/>
    <col min="3" max="3" width="15.5703125" style="116" customWidth="1"/>
    <col min="4" max="4" width="46.85546875" style="116" customWidth="1"/>
    <col min="5" max="5" width="5" style="116" bestFit="1" customWidth="1"/>
    <col min="6" max="6" width="8.7109375" style="116" customWidth="1"/>
    <col min="7" max="7" width="14.5703125" style="116" customWidth="1"/>
    <col min="8" max="8" width="18.5703125" style="116" customWidth="1"/>
    <col min="9" max="9" width="14" style="127" bestFit="1" customWidth="1"/>
    <col min="10" max="10" width="17.140625" style="77" customWidth="1"/>
    <col min="11" max="11" width="12.28515625" style="128" bestFit="1" customWidth="1"/>
    <col min="12" max="12" width="9.140625" style="116"/>
    <col min="13" max="13" width="14" style="116" bestFit="1" customWidth="1"/>
    <col min="14" max="15" width="12.42578125" style="116" bestFit="1" customWidth="1"/>
    <col min="16" max="16384" width="9.140625" style="116"/>
  </cols>
  <sheetData>
    <row r="1" spans="1:13" x14ac:dyDescent="0.2">
      <c r="A1" s="115" t="s">
        <v>0</v>
      </c>
      <c r="B1" s="115" t="s">
        <v>1</v>
      </c>
      <c r="C1" s="115" t="s">
        <v>5</v>
      </c>
      <c r="D1" s="115" t="s">
        <v>2</v>
      </c>
      <c r="E1" s="115" t="s">
        <v>3</v>
      </c>
      <c r="F1" s="115" t="s">
        <v>614</v>
      </c>
      <c r="G1" s="115" t="s">
        <v>615</v>
      </c>
      <c r="H1" s="115" t="s">
        <v>119</v>
      </c>
      <c r="I1" s="115" t="s">
        <v>17</v>
      </c>
      <c r="J1" s="117"/>
      <c r="K1" s="118"/>
    </row>
    <row r="2" spans="1:13" ht="25.5" x14ac:dyDescent="0.2">
      <c r="A2" s="119">
        <f>ROW()-1</f>
        <v>1</v>
      </c>
      <c r="B2" s="119">
        <v>100466</v>
      </c>
      <c r="C2" s="119"/>
      <c r="D2" s="120" t="s">
        <v>704</v>
      </c>
      <c r="E2" s="121" t="s">
        <v>619</v>
      </c>
      <c r="F2" s="121">
        <v>10</v>
      </c>
      <c r="G2" s="137">
        <f>I2</f>
        <v>5000</v>
      </c>
      <c r="H2" s="137">
        <f>G2*F2</f>
        <v>50000</v>
      </c>
      <c r="I2" s="139">
        <v>5000</v>
      </c>
      <c r="J2" s="136" t="s">
        <v>705</v>
      </c>
      <c r="K2" s="134"/>
    </row>
    <row r="3" spans="1:13" s="128" customFormat="1" x14ac:dyDescent="0.2">
      <c r="A3" s="119">
        <f t="shared" ref="A3:A5" si="0">ROW()-1</f>
        <v>2</v>
      </c>
      <c r="B3" s="349" t="s">
        <v>7</v>
      </c>
      <c r="C3" s="349"/>
      <c r="D3" s="349"/>
      <c r="E3" s="349"/>
      <c r="F3" s="349"/>
      <c r="G3" s="349"/>
      <c r="H3" s="138">
        <f>SUM(H2:H2)</f>
        <v>50000</v>
      </c>
      <c r="I3" s="127"/>
      <c r="J3" s="77"/>
    </row>
    <row r="4" spans="1:13" s="128" customFormat="1" x14ac:dyDescent="0.2">
      <c r="A4" s="119">
        <f t="shared" si="0"/>
        <v>3</v>
      </c>
      <c r="B4" s="349" t="s">
        <v>649</v>
      </c>
      <c r="C4" s="349"/>
      <c r="D4" s="349"/>
      <c r="E4" s="349"/>
      <c r="F4" s="349"/>
      <c r="G4" s="349"/>
      <c r="H4" s="138">
        <f>H3*18%</f>
        <v>9000</v>
      </c>
      <c r="I4" s="127"/>
      <c r="J4" s="77"/>
    </row>
    <row r="5" spans="1:13" s="128" customFormat="1" x14ac:dyDescent="0.2">
      <c r="A5" s="119">
        <f t="shared" si="0"/>
        <v>4</v>
      </c>
      <c r="B5" s="349" t="s">
        <v>8</v>
      </c>
      <c r="C5" s="349"/>
      <c r="D5" s="349"/>
      <c r="E5" s="349"/>
      <c r="F5" s="349"/>
      <c r="G5" s="349"/>
      <c r="H5" s="138">
        <f>H4+H3</f>
        <v>59000</v>
      </c>
      <c r="I5" s="127"/>
      <c r="J5" s="77"/>
    </row>
    <row r="6" spans="1:13" s="128" customFormat="1" ht="147.75" customHeight="1" x14ac:dyDescent="0.2">
      <c r="A6" s="129" t="s">
        <v>9</v>
      </c>
      <c r="B6" s="350" t="s">
        <v>631</v>
      </c>
      <c r="C6" s="350"/>
      <c r="D6" s="350"/>
      <c r="E6" s="350"/>
      <c r="F6" s="350"/>
      <c r="G6" s="350"/>
      <c r="H6" s="350"/>
      <c r="I6" s="127"/>
      <c r="J6" s="127"/>
      <c r="M6" s="130"/>
    </row>
  </sheetData>
  <mergeCells count="4">
    <mergeCell ref="B3:G3"/>
    <mergeCell ref="B4:G4"/>
    <mergeCell ref="B5:G5"/>
    <mergeCell ref="B6:H6"/>
  </mergeCells>
  <pageMargins left="0.23622047244094491" right="0.23622047244094491" top="0.74803149606299213" bottom="0.74803149606299213" header="0.31496062992125984" footer="0.31496062992125984"/>
  <pageSetup orientation="landscape" horizontalDpi="4294967292" r:id="rId1"/>
  <headerFooter>
    <oddHeader>&amp;LCONFIANCE INDIA&amp;CPR 2020017116 (TG Spare )&amp;R9 NOV 2023</oddHeader>
    <oddFooter>Page &amp;P of &amp;N</oddFooter>
  </headerFooter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73C62-4779-4755-A12E-934CECE71245}">
  <dimension ref="A1:M7"/>
  <sheetViews>
    <sheetView zoomScaleNormal="100" zoomScaleSheetLayoutView="100" workbookViewId="0">
      <selection activeCell="B2" sqref="B2"/>
    </sheetView>
  </sheetViews>
  <sheetFormatPr defaultColWidth="9.140625" defaultRowHeight="12.75" x14ac:dyDescent="0.2"/>
  <cols>
    <col min="1" max="1" width="5.85546875" style="116" bestFit="1" customWidth="1"/>
    <col min="2" max="2" width="11" style="116" bestFit="1" customWidth="1"/>
    <col min="3" max="3" width="15.5703125" style="116" customWidth="1"/>
    <col min="4" max="4" width="46.85546875" style="116" customWidth="1"/>
    <col min="5" max="5" width="5" style="116" bestFit="1" customWidth="1"/>
    <col min="6" max="6" width="8.7109375" style="116" customWidth="1"/>
    <col min="7" max="7" width="14.5703125" style="116" customWidth="1"/>
    <col min="8" max="8" width="18.5703125" style="116" customWidth="1"/>
    <col min="9" max="9" width="14" style="127" bestFit="1" customWidth="1"/>
    <col min="10" max="10" width="17.140625" style="77" customWidth="1"/>
    <col min="11" max="11" width="12.28515625" style="128" bestFit="1" customWidth="1"/>
    <col min="12" max="12" width="16.5703125" style="116" bestFit="1" customWidth="1"/>
    <col min="13" max="13" width="14" style="116" bestFit="1" customWidth="1"/>
    <col min="14" max="15" width="12.42578125" style="116" bestFit="1" customWidth="1"/>
    <col min="16" max="16384" width="9.140625" style="116"/>
  </cols>
  <sheetData>
    <row r="1" spans="1:13" x14ac:dyDescent="0.2">
      <c r="A1" s="115" t="s">
        <v>0</v>
      </c>
      <c r="B1" s="115" t="s">
        <v>1</v>
      </c>
      <c r="C1" s="115" t="s">
        <v>5</v>
      </c>
      <c r="D1" s="115" t="s">
        <v>2</v>
      </c>
      <c r="E1" s="115" t="s">
        <v>3</v>
      </c>
      <c r="F1" s="115" t="s">
        <v>614</v>
      </c>
      <c r="G1" s="115" t="s">
        <v>615</v>
      </c>
      <c r="H1" s="115" t="s">
        <v>119</v>
      </c>
      <c r="I1" s="115" t="s">
        <v>17</v>
      </c>
      <c r="J1" s="117"/>
      <c r="K1" s="118" t="s">
        <v>708</v>
      </c>
      <c r="L1" s="116" t="s">
        <v>721</v>
      </c>
    </row>
    <row r="2" spans="1:13" ht="63.75" x14ac:dyDescent="0.2">
      <c r="A2" s="119">
        <f>ROW()-1</f>
        <v>1</v>
      </c>
      <c r="B2" s="119">
        <v>100044</v>
      </c>
      <c r="C2" s="119" t="s">
        <v>635</v>
      </c>
      <c r="D2" s="120" t="s">
        <v>707</v>
      </c>
      <c r="E2" s="121" t="s">
        <v>619</v>
      </c>
      <c r="F2" s="121">
        <v>2</v>
      </c>
      <c r="G2" s="137">
        <f>I2</f>
        <v>38500</v>
      </c>
      <c r="H2" s="137">
        <f>G2*F2</f>
        <v>77000</v>
      </c>
      <c r="I2" s="139">
        <v>38500</v>
      </c>
      <c r="J2" s="136"/>
      <c r="K2" s="134"/>
    </row>
    <row r="3" spans="1:13" ht="76.5" x14ac:dyDescent="0.2">
      <c r="A3" s="119">
        <f>ROW()-1</f>
        <v>2</v>
      </c>
      <c r="B3" s="119">
        <v>100029</v>
      </c>
      <c r="C3" s="119" t="s">
        <v>635</v>
      </c>
      <c r="D3" s="120" t="s">
        <v>706</v>
      </c>
      <c r="E3" s="121" t="s">
        <v>619</v>
      </c>
      <c r="F3" s="121">
        <v>8</v>
      </c>
      <c r="G3" s="137">
        <v>0</v>
      </c>
      <c r="H3" s="137">
        <f>G3*F3</f>
        <v>0</v>
      </c>
      <c r="I3" s="139" t="s">
        <v>252</v>
      </c>
      <c r="J3" s="136"/>
      <c r="K3" s="152">
        <v>1500</v>
      </c>
      <c r="L3" s="152">
        <v>2500</v>
      </c>
    </row>
    <row r="4" spans="1:13" s="128" customFormat="1" x14ac:dyDescent="0.2">
      <c r="A4" s="119">
        <f t="shared" ref="A4:A6" si="0">ROW()-1</f>
        <v>3</v>
      </c>
      <c r="B4" s="349" t="s">
        <v>7</v>
      </c>
      <c r="C4" s="349"/>
      <c r="D4" s="349"/>
      <c r="E4" s="349"/>
      <c r="F4" s="349"/>
      <c r="G4" s="349"/>
      <c r="H4" s="138">
        <f>SUM(H2:H3)</f>
        <v>77000</v>
      </c>
      <c r="I4" s="127"/>
      <c r="J4" s="77"/>
    </row>
    <row r="5" spans="1:13" s="128" customFormat="1" x14ac:dyDescent="0.2">
      <c r="A5" s="119">
        <f t="shared" si="0"/>
        <v>4</v>
      </c>
      <c r="B5" s="349" t="s">
        <v>649</v>
      </c>
      <c r="C5" s="349"/>
      <c r="D5" s="349"/>
      <c r="E5" s="349"/>
      <c r="F5" s="349"/>
      <c r="G5" s="349"/>
      <c r="H5" s="138">
        <f>H4*18%</f>
        <v>13860</v>
      </c>
      <c r="I5" s="127"/>
      <c r="J5" s="77"/>
    </row>
    <row r="6" spans="1:13" s="128" customFormat="1" x14ac:dyDescent="0.2">
      <c r="A6" s="119">
        <f t="shared" si="0"/>
        <v>5</v>
      </c>
      <c r="B6" s="349" t="s">
        <v>8</v>
      </c>
      <c r="C6" s="349"/>
      <c r="D6" s="349"/>
      <c r="E6" s="349"/>
      <c r="F6" s="349"/>
      <c r="G6" s="349"/>
      <c r="H6" s="138">
        <f>H5+H4</f>
        <v>90860</v>
      </c>
      <c r="I6" s="127"/>
      <c r="J6" s="77"/>
    </row>
    <row r="7" spans="1:13" s="128" customFormat="1" ht="147.75" customHeight="1" x14ac:dyDescent="0.2">
      <c r="A7" s="129" t="s">
        <v>9</v>
      </c>
      <c r="B7" s="350" t="s">
        <v>631</v>
      </c>
      <c r="C7" s="350"/>
      <c r="D7" s="350"/>
      <c r="E7" s="350"/>
      <c r="F7" s="350"/>
      <c r="G7" s="350"/>
      <c r="H7" s="350"/>
      <c r="I7" s="127"/>
      <c r="J7" s="127"/>
      <c r="M7" s="130"/>
    </row>
  </sheetData>
  <mergeCells count="4">
    <mergeCell ref="B4:G4"/>
    <mergeCell ref="B5:G5"/>
    <mergeCell ref="B6:G6"/>
    <mergeCell ref="B7:H7"/>
  </mergeCells>
  <pageMargins left="0.23622047244094491" right="0.23622047244094491" top="0.74803149606299213" bottom="0.74803149606299213" header="0.31496062992125984" footer="0.31496062992125984"/>
  <pageSetup orientation="landscape" horizontalDpi="4294967292" r:id="rId1"/>
  <headerFooter>
    <oddHeader>&amp;LCONFIANCE INDIA&amp;CPR 2020017116 (TG Spare )&amp;R9 NOV 2023</oddHeader>
    <oddFooter>Page &amp;P of &amp;N</oddFooter>
  </headerFooter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25CCE-643F-4750-9719-A3D2CE582483}">
  <dimension ref="A1:O9"/>
  <sheetViews>
    <sheetView zoomScaleNormal="100" zoomScaleSheetLayoutView="100" workbookViewId="0">
      <selection activeCell="C5" sqref="C5"/>
    </sheetView>
  </sheetViews>
  <sheetFormatPr defaultColWidth="9.140625" defaultRowHeight="12.75" x14ac:dyDescent="0.2"/>
  <cols>
    <col min="1" max="1" width="5.85546875" style="116" bestFit="1" customWidth="1"/>
    <col min="2" max="2" width="23.42578125" style="116" customWidth="1"/>
    <col min="3" max="3" width="15.5703125" style="116" customWidth="1"/>
    <col min="4" max="4" width="46.85546875" style="116" customWidth="1"/>
    <col min="5" max="5" width="5" style="116" bestFit="1" customWidth="1"/>
    <col min="6" max="6" width="8.7109375" style="116" customWidth="1"/>
    <col min="7" max="7" width="14.5703125" style="116" customWidth="1"/>
    <col min="8" max="8" width="18.5703125" style="116" customWidth="1"/>
    <col min="9" max="9" width="14" style="127" bestFit="1" customWidth="1"/>
    <col min="10" max="10" width="14" style="127" customWidth="1"/>
    <col min="11" max="12" width="17.140625" style="77" customWidth="1"/>
    <col min="13" max="13" width="12.28515625" style="128" bestFit="1" customWidth="1"/>
    <col min="14" max="14" width="9.140625" style="116"/>
    <col min="15" max="15" width="14" style="116" bestFit="1" customWidth="1"/>
    <col min="16" max="17" width="12.42578125" style="116" bestFit="1" customWidth="1"/>
    <col min="18" max="16384" width="9.140625" style="116"/>
  </cols>
  <sheetData>
    <row r="1" spans="1:15" x14ac:dyDescent="0.2">
      <c r="A1" s="115" t="s">
        <v>0</v>
      </c>
      <c r="B1" s="115" t="s">
        <v>1</v>
      </c>
      <c r="C1" s="115" t="s">
        <v>5</v>
      </c>
      <c r="D1" s="115" t="s">
        <v>2</v>
      </c>
      <c r="E1" s="115" t="s">
        <v>3</v>
      </c>
      <c r="F1" s="115" t="s">
        <v>614</v>
      </c>
      <c r="G1" s="115" t="s">
        <v>615</v>
      </c>
      <c r="H1" s="115" t="s">
        <v>119</v>
      </c>
      <c r="I1" s="115" t="s">
        <v>17</v>
      </c>
      <c r="J1" s="153" t="s">
        <v>723</v>
      </c>
      <c r="K1" s="117" t="s">
        <v>722</v>
      </c>
      <c r="L1" s="117" t="s">
        <v>110</v>
      </c>
      <c r="M1" s="118" t="s">
        <v>714</v>
      </c>
    </row>
    <row r="2" spans="1:15" ht="51" x14ac:dyDescent="0.2">
      <c r="A2" s="119">
        <f>ROW()-1</f>
        <v>1</v>
      </c>
      <c r="B2" s="119" t="s">
        <v>709</v>
      </c>
      <c r="C2" s="119">
        <v>4000003586</v>
      </c>
      <c r="D2" s="120" t="s">
        <v>710</v>
      </c>
      <c r="E2" s="121" t="s">
        <v>619</v>
      </c>
      <c r="F2" s="121">
        <v>6</v>
      </c>
      <c r="G2" s="137">
        <f>93*1.3*I2</f>
        <v>38083.5</v>
      </c>
      <c r="H2" s="137">
        <f>G2*F2</f>
        <v>228501</v>
      </c>
      <c r="I2" s="136">
        <v>315</v>
      </c>
      <c r="J2" s="136">
        <v>315</v>
      </c>
      <c r="K2" s="136">
        <v>450</v>
      </c>
      <c r="L2" s="136">
        <v>275</v>
      </c>
      <c r="M2" s="141">
        <v>169</v>
      </c>
    </row>
    <row r="3" spans="1:15" ht="38.25" x14ac:dyDescent="0.2">
      <c r="A3" s="119">
        <f>ROW()-1</f>
        <v>2</v>
      </c>
      <c r="B3" s="119" t="s">
        <v>709</v>
      </c>
      <c r="C3" s="119">
        <v>4000003564</v>
      </c>
      <c r="D3" s="120" t="s">
        <v>711</v>
      </c>
      <c r="E3" s="121" t="s">
        <v>619</v>
      </c>
      <c r="F3" s="121">
        <v>12</v>
      </c>
      <c r="G3" s="137">
        <f t="shared" ref="G3:G5" si="0">93*1.3*I3</f>
        <v>1813.5</v>
      </c>
      <c r="H3" s="137">
        <f t="shared" ref="H3:H5" si="1">G3*F3</f>
        <v>21762</v>
      </c>
      <c r="I3" s="136">
        <v>15</v>
      </c>
      <c r="J3" s="136">
        <v>17</v>
      </c>
      <c r="K3" s="136">
        <v>15</v>
      </c>
      <c r="L3" s="136">
        <v>20</v>
      </c>
      <c r="M3" s="141"/>
    </row>
    <row r="4" spans="1:15" ht="38.25" x14ac:dyDescent="0.2">
      <c r="A4" s="119">
        <f t="shared" ref="A4:A5" si="2">ROW()-1</f>
        <v>3</v>
      </c>
      <c r="B4" s="119" t="s">
        <v>709</v>
      </c>
      <c r="C4" s="119">
        <v>4000003546</v>
      </c>
      <c r="D4" s="120" t="s">
        <v>712</v>
      </c>
      <c r="E4" s="121" t="s">
        <v>619</v>
      </c>
      <c r="F4" s="121">
        <v>1</v>
      </c>
      <c r="G4" s="137">
        <f t="shared" si="0"/>
        <v>233337</v>
      </c>
      <c r="H4" s="137">
        <f t="shared" si="1"/>
        <v>233337</v>
      </c>
      <c r="I4" s="136">
        <v>1930</v>
      </c>
      <c r="J4" s="136">
        <v>4470</v>
      </c>
      <c r="K4" s="136">
        <v>1930</v>
      </c>
      <c r="L4" s="136">
        <v>15</v>
      </c>
      <c r="M4" s="141"/>
    </row>
    <row r="5" spans="1:15" ht="76.5" x14ac:dyDescent="0.2">
      <c r="A5" s="119">
        <f t="shared" si="2"/>
        <v>4</v>
      </c>
      <c r="B5" s="119" t="s">
        <v>709</v>
      </c>
      <c r="C5" s="119">
        <v>4000003545</v>
      </c>
      <c r="D5" s="120" t="s">
        <v>713</v>
      </c>
      <c r="E5" s="121" t="s">
        <v>619</v>
      </c>
      <c r="F5" s="121">
        <v>1</v>
      </c>
      <c r="G5" s="137">
        <f t="shared" si="0"/>
        <v>131781</v>
      </c>
      <c r="H5" s="137">
        <f t="shared" si="1"/>
        <v>131781</v>
      </c>
      <c r="I5" s="136">
        <v>1090</v>
      </c>
      <c r="J5" s="136">
        <v>745</v>
      </c>
      <c r="K5" s="136">
        <v>1090</v>
      </c>
      <c r="L5" s="136" t="s">
        <v>726</v>
      </c>
      <c r="M5" s="141"/>
    </row>
    <row r="6" spans="1:15" s="128" customFormat="1" x14ac:dyDescent="0.2">
      <c r="A6" s="119">
        <f t="shared" ref="A6:A8" si="3">ROW()-1</f>
        <v>5</v>
      </c>
      <c r="B6" s="349" t="s">
        <v>7</v>
      </c>
      <c r="C6" s="349"/>
      <c r="D6" s="349"/>
      <c r="E6" s="349"/>
      <c r="F6" s="349"/>
      <c r="G6" s="349"/>
      <c r="H6" s="138">
        <f>SUM(H2:H5)</f>
        <v>615381</v>
      </c>
      <c r="I6" s="127"/>
      <c r="J6" s="127"/>
      <c r="K6" s="77"/>
      <c r="L6" s="77"/>
    </row>
    <row r="7" spans="1:15" s="128" customFormat="1" x14ac:dyDescent="0.2">
      <c r="A7" s="119">
        <f t="shared" si="3"/>
        <v>6</v>
      </c>
      <c r="B7" s="349" t="s">
        <v>649</v>
      </c>
      <c r="C7" s="349"/>
      <c r="D7" s="349"/>
      <c r="E7" s="349"/>
      <c r="F7" s="349"/>
      <c r="G7" s="349"/>
      <c r="H7" s="138">
        <f>H6*18%</f>
        <v>110768.58</v>
      </c>
      <c r="I7" s="127"/>
      <c r="J7" s="127"/>
      <c r="K7" s="77"/>
      <c r="L7" s="77"/>
    </row>
    <row r="8" spans="1:15" s="128" customFormat="1" x14ac:dyDescent="0.2">
      <c r="A8" s="119">
        <f t="shared" si="3"/>
        <v>7</v>
      </c>
      <c r="B8" s="349" t="s">
        <v>8</v>
      </c>
      <c r="C8" s="349"/>
      <c r="D8" s="349"/>
      <c r="E8" s="349"/>
      <c r="F8" s="349"/>
      <c r="G8" s="349"/>
      <c r="H8" s="138">
        <f>H7+H6</f>
        <v>726149.58</v>
      </c>
      <c r="I8" s="127"/>
      <c r="J8" s="127"/>
      <c r="K8" s="77"/>
      <c r="L8" s="77"/>
    </row>
    <row r="9" spans="1:15" s="128" customFormat="1" ht="147.75" customHeight="1" x14ac:dyDescent="0.2">
      <c r="A9" s="129" t="s">
        <v>9</v>
      </c>
      <c r="B9" s="350" t="s">
        <v>631</v>
      </c>
      <c r="C9" s="350"/>
      <c r="D9" s="350"/>
      <c r="E9" s="350"/>
      <c r="F9" s="350"/>
      <c r="G9" s="350"/>
      <c r="H9" s="350"/>
      <c r="I9" s="127"/>
      <c r="J9" s="127"/>
      <c r="K9" s="127"/>
      <c r="L9" s="127"/>
      <c r="O9" s="130"/>
    </row>
  </sheetData>
  <mergeCells count="4">
    <mergeCell ref="B6:G6"/>
    <mergeCell ref="B7:G7"/>
    <mergeCell ref="B8:G8"/>
    <mergeCell ref="B9:H9"/>
  </mergeCells>
  <pageMargins left="0.23622047244094491" right="0.23622047244094491" top="0.74803149606299213" bottom="0.74803149606299213" header="0.31496062992125984" footer="0.31496062992125984"/>
  <pageSetup orientation="landscape" horizontalDpi="4294967292" r:id="rId1"/>
  <headerFooter>
    <oddHeader>&amp;LCONFIANCE INDIA&amp;CPR 2020017116 (TG Spare )&amp;R9 NOV 2023</oddHeader>
    <oddFooter>Page &amp;P of &amp;N</oddFooter>
  </headerFooter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5B5EE-A663-4014-B5CF-73D468848A46}">
  <dimension ref="A1:M8"/>
  <sheetViews>
    <sheetView zoomScaleNormal="100" zoomScaleSheetLayoutView="100" workbookViewId="0">
      <selection activeCell="D2" sqref="D2"/>
    </sheetView>
  </sheetViews>
  <sheetFormatPr defaultColWidth="9.140625" defaultRowHeight="12.75" x14ac:dyDescent="0.2"/>
  <cols>
    <col min="1" max="1" width="5.85546875" style="116" bestFit="1" customWidth="1"/>
    <col min="2" max="2" width="11" style="116" bestFit="1" customWidth="1"/>
    <col min="3" max="3" width="15.5703125" style="116" customWidth="1"/>
    <col min="4" max="4" width="46.85546875" style="116" customWidth="1"/>
    <col min="5" max="5" width="5" style="116" bestFit="1" customWidth="1"/>
    <col min="6" max="6" width="8.7109375" style="116" customWidth="1"/>
    <col min="7" max="7" width="14.5703125" style="116" customWidth="1"/>
    <col min="8" max="8" width="18.5703125" style="116" customWidth="1"/>
    <col min="9" max="9" width="22" style="127" bestFit="1" customWidth="1"/>
    <col min="10" max="10" width="17.140625" style="77" customWidth="1"/>
    <col min="11" max="11" width="12.28515625" style="128" bestFit="1" customWidth="1"/>
    <col min="12" max="12" width="16.5703125" style="116" bestFit="1" customWidth="1"/>
    <col min="13" max="13" width="14" style="116" bestFit="1" customWidth="1"/>
    <col min="14" max="15" width="12.42578125" style="116" bestFit="1" customWidth="1"/>
    <col min="16" max="16384" width="9.140625" style="116"/>
  </cols>
  <sheetData>
    <row r="1" spans="1:13" x14ac:dyDescent="0.2">
      <c r="A1" s="115" t="s">
        <v>0</v>
      </c>
      <c r="B1" s="115" t="s">
        <v>1</v>
      </c>
      <c r="C1" s="115" t="s">
        <v>5</v>
      </c>
      <c r="D1" s="115" t="s">
        <v>2</v>
      </c>
      <c r="E1" s="115" t="s">
        <v>3</v>
      </c>
      <c r="F1" s="115" t="s">
        <v>614</v>
      </c>
      <c r="G1" s="115" t="s">
        <v>615</v>
      </c>
      <c r="H1" s="115" t="s">
        <v>119</v>
      </c>
      <c r="I1" s="115" t="s">
        <v>731</v>
      </c>
      <c r="J1" s="117" t="s">
        <v>730</v>
      </c>
      <c r="K1" s="118"/>
    </row>
    <row r="2" spans="1:13" ht="38.25" x14ac:dyDescent="0.2">
      <c r="A2" s="119">
        <f>ROW()-1</f>
        <v>1</v>
      </c>
      <c r="B2" s="119">
        <v>100044</v>
      </c>
      <c r="C2" s="119" t="s">
        <v>635</v>
      </c>
      <c r="D2" s="120" t="s">
        <v>727</v>
      </c>
      <c r="E2" s="121" t="s">
        <v>619</v>
      </c>
      <c r="F2" s="121">
        <v>2</v>
      </c>
      <c r="G2" s="137">
        <f>I2</f>
        <v>94299.999999999985</v>
      </c>
      <c r="H2" s="137">
        <f>G2*F2</f>
        <v>188599.99999999997</v>
      </c>
      <c r="I2" s="139">
        <f>J2*1.15</f>
        <v>94299.999999999985</v>
      </c>
      <c r="J2" s="155">
        <v>82000</v>
      </c>
      <c r="K2" s="134"/>
    </row>
    <row r="3" spans="1:13" ht="38.25" x14ac:dyDescent="0.2">
      <c r="A3" s="119">
        <f>ROW()-1</f>
        <v>2</v>
      </c>
      <c r="B3" s="119">
        <v>100044</v>
      </c>
      <c r="C3" s="119" t="s">
        <v>635</v>
      </c>
      <c r="D3" s="120" t="s">
        <v>728</v>
      </c>
      <c r="E3" s="121" t="s">
        <v>619</v>
      </c>
      <c r="F3" s="121">
        <v>2</v>
      </c>
      <c r="G3" s="137">
        <f t="shared" ref="G3:G4" si="0">I3</f>
        <v>44850</v>
      </c>
      <c r="H3" s="137">
        <f t="shared" ref="H3:H4" si="1">G3*F3</f>
        <v>89700</v>
      </c>
      <c r="I3" s="139">
        <f t="shared" ref="I3:I4" si="2">J3*1.15</f>
        <v>44850</v>
      </c>
      <c r="J3" s="155">
        <v>39000</v>
      </c>
      <c r="K3" s="152"/>
      <c r="L3" s="152"/>
    </row>
    <row r="4" spans="1:13" ht="25.5" x14ac:dyDescent="0.2">
      <c r="A4" s="119">
        <f>ROW()-1</f>
        <v>3</v>
      </c>
      <c r="B4" s="119">
        <v>100044</v>
      </c>
      <c r="C4" s="119" t="s">
        <v>635</v>
      </c>
      <c r="D4" s="120" t="s">
        <v>729</v>
      </c>
      <c r="E4" s="121" t="s">
        <v>619</v>
      </c>
      <c r="F4" s="121">
        <v>2</v>
      </c>
      <c r="G4" s="137">
        <f t="shared" si="0"/>
        <v>97749.999999999985</v>
      </c>
      <c r="H4" s="137">
        <f t="shared" si="1"/>
        <v>195499.99999999997</v>
      </c>
      <c r="I4" s="139">
        <f t="shared" si="2"/>
        <v>97749.999999999985</v>
      </c>
      <c r="J4" s="155">
        <v>85000</v>
      </c>
      <c r="K4" s="152"/>
      <c r="L4" s="152"/>
    </row>
    <row r="5" spans="1:13" s="128" customFormat="1" x14ac:dyDescent="0.2">
      <c r="A5" s="119">
        <f t="shared" ref="A5:A7" si="3">ROW()-1</f>
        <v>4</v>
      </c>
      <c r="B5" s="349" t="s">
        <v>7</v>
      </c>
      <c r="C5" s="349"/>
      <c r="D5" s="349"/>
      <c r="E5" s="349"/>
      <c r="F5" s="349"/>
      <c r="G5" s="349"/>
      <c r="H5" s="138">
        <f>SUM(H2:H4)</f>
        <v>473800</v>
      </c>
      <c r="I5" s="127"/>
      <c r="J5" s="77"/>
    </row>
    <row r="6" spans="1:13" s="128" customFormat="1" x14ac:dyDescent="0.2">
      <c r="A6" s="119">
        <f t="shared" si="3"/>
        <v>5</v>
      </c>
      <c r="B6" s="349" t="s">
        <v>649</v>
      </c>
      <c r="C6" s="349"/>
      <c r="D6" s="349"/>
      <c r="E6" s="349"/>
      <c r="F6" s="349"/>
      <c r="G6" s="349"/>
      <c r="H6" s="138">
        <f>H5*18%</f>
        <v>85284</v>
      </c>
      <c r="I6" s="127"/>
      <c r="J6" s="77"/>
    </row>
    <row r="7" spans="1:13" s="128" customFormat="1" x14ac:dyDescent="0.2">
      <c r="A7" s="119">
        <f t="shared" si="3"/>
        <v>6</v>
      </c>
      <c r="B7" s="349" t="s">
        <v>8</v>
      </c>
      <c r="C7" s="349"/>
      <c r="D7" s="349"/>
      <c r="E7" s="349"/>
      <c r="F7" s="349"/>
      <c r="G7" s="349"/>
      <c r="H7" s="138">
        <f>H6+H5</f>
        <v>559084</v>
      </c>
      <c r="I7" s="127"/>
      <c r="J7" s="77"/>
    </row>
    <row r="8" spans="1:13" s="128" customFormat="1" ht="147.75" customHeight="1" x14ac:dyDescent="0.2">
      <c r="A8" s="129" t="s">
        <v>9</v>
      </c>
      <c r="B8" s="350" t="s">
        <v>631</v>
      </c>
      <c r="C8" s="350"/>
      <c r="D8" s="350"/>
      <c r="E8" s="350"/>
      <c r="F8" s="350"/>
      <c r="G8" s="350"/>
      <c r="H8" s="350"/>
      <c r="I8" s="127"/>
      <c r="J8" s="127"/>
      <c r="M8" s="130"/>
    </row>
  </sheetData>
  <mergeCells count="4">
    <mergeCell ref="B5:G5"/>
    <mergeCell ref="B6:G6"/>
    <mergeCell ref="B7:G7"/>
    <mergeCell ref="B8:H8"/>
  </mergeCells>
  <pageMargins left="0.23622047244094491" right="0.23622047244094491" top="0.74803149606299213" bottom="0.74803149606299213" header="0.31496062992125984" footer="0.31496062992125984"/>
  <pageSetup orientation="landscape" horizontalDpi="4294967292" r:id="rId1"/>
  <headerFooter>
    <oddHeader>&amp;LCONFIANCE INDIA&amp;CPR 2020017116 (TG Spare )&amp;R9 NOV 2023</oddHeader>
    <oddFooter>Page &amp;P of &amp;N</oddFooter>
  </headerFooter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3D95C-3336-4C9D-A23E-F15EC2C36F1B}">
  <dimension ref="A1:M6"/>
  <sheetViews>
    <sheetView zoomScaleNormal="100" zoomScaleSheetLayoutView="100" workbookViewId="0">
      <selection activeCell="K14" sqref="K14"/>
    </sheetView>
  </sheetViews>
  <sheetFormatPr defaultColWidth="9.140625" defaultRowHeight="12.75" x14ac:dyDescent="0.2"/>
  <cols>
    <col min="1" max="1" width="5.85546875" style="116" bestFit="1" customWidth="1"/>
    <col min="2" max="2" width="22.28515625" style="116" customWidth="1"/>
    <col min="3" max="3" width="15.5703125" style="116" customWidth="1"/>
    <col min="4" max="4" width="46.85546875" style="116" customWidth="1"/>
    <col min="5" max="5" width="5" style="116" bestFit="1" customWidth="1"/>
    <col min="6" max="6" width="8.7109375" style="116" customWidth="1"/>
    <col min="7" max="7" width="14.5703125" style="116" customWidth="1"/>
    <col min="8" max="8" width="18.5703125" style="116" customWidth="1"/>
    <col min="9" max="9" width="22" style="127" bestFit="1" customWidth="1"/>
    <col min="10" max="10" width="17.140625" style="77" customWidth="1"/>
    <col min="11" max="11" width="17.85546875" style="128" bestFit="1" customWidth="1"/>
    <col min="12" max="12" width="16.5703125" style="116" bestFit="1" customWidth="1"/>
    <col min="13" max="13" width="14" style="116" bestFit="1" customWidth="1"/>
    <col min="14" max="15" width="12.42578125" style="116" bestFit="1" customWidth="1"/>
    <col min="16" max="16384" width="9.140625" style="116"/>
  </cols>
  <sheetData>
    <row r="1" spans="1:13" x14ac:dyDescent="0.2">
      <c r="A1" s="115" t="s">
        <v>0</v>
      </c>
      <c r="B1" s="115" t="s">
        <v>1</v>
      </c>
      <c r="C1" s="115" t="s">
        <v>5</v>
      </c>
      <c r="D1" s="115" t="s">
        <v>2</v>
      </c>
      <c r="E1" s="115" t="s">
        <v>3</v>
      </c>
      <c r="F1" s="115" t="s">
        <v>614</v>
      </c>
      <c r="G1" s="115" t="s">
        <v>615</v>
      </c>
      <c r="H1" s="115" t="s">
        <v>119</v>
      </c>
      <c r="I1" s="115" t="s">
        <v>17</v>
      </c>
      <c r="J1" s="117" t="s">
        <v>734</v>
      </c>
      <c r="K1" s="118" t="s">
        <v>735</v>
      </c>
      <c r="L1" s="116" t="s">
        <v>736</v>
      </c>
      <c r="M1" s="116" t="s">
        <v>808</v>
      </c>
    </row>
    <row r="2" spans="1:13" ht="63.75" x14ac:dyDescent="0.2">
      <c r="A2" s="119">
        <f>ROW()-1</f>
        <v>1</v>
      </c>
      <c r="B2" s="119" t="s">
        <v>732</v>
      </c>
      <c r="C2" s="119">
        <v>4000008038</v>
      </c>
      <c r="D2" s="120" t="s">
        <v>733</v>
      </c>
      <c r="E2" s="121" t="s">
        <v>619</v>
      </c>
      <c r="F2" s="121">
        <v>100</v>
      </c>
      <c r="G2" s="137">
        <f>93*1.33*I2</f>
        <v>12369.000000000002</v>
      </c>
      <c r="H2" s="137">
        <f>G2*F2</f>
        <v>1236900.0000000002</v>
      </c>
      <c r="I2" s="133">
        <v>100</v>
      </c>
      <c r="J2" s="135">
        <v>700</v>
      </c>
      <c r="K2" s="141">
        <v>95</v>
      </c>
      <c r="L2" s="141">
        <v>95</v>
      </c>
      <c r="M2" s="142">
        <v>99.6</v>
      </c>
    </row>
    <row r="3" spans="1:13" s="128" customFormat="1" x14ac:dyDescent="0.2">
      <c r="A3" s="119">
        <f t="shared" ref="A3:A5" si="0">ROW()-1</f>
        <v>2</v>
      </c>
      <c r="B3" s="349" t="s">
        <v>7</v>
      </c>
      <c r="C3" s="349"/>
      <c r="D3" s="349"/>
      <c r="E3" s="349"/>
      <c r="F3" s="349"/>
      <c r="G3" s="349"/>
      <c r="H3" s="138">
        <f>SUM(H2:H2)</f>
        <v>1236900.0000000002</v>
      </c>
      <c r="I3" s="127"/>
      <c r="J3" s="77"/>
    </row>
    <row r="4" spans="1:13" s="128" customFormat="1" x14ac:dyDescent="0.2">
      <c r="A4" s="119">
        <f t="shared" si="0"/>
        <v>3</v>
      </c>
      <c r="B4" s="349" t="s">
        <v>649</v>
      </c>
      <c r="C4" s="349"/>
      <c r="D4" s="349"/>
      <c r="E4" s="349"/>
      <c r="F4" s="349"/>
      <c r="G4" s="349"/>
      <c r="H4" s="138">
        <f>H3*18%</f>
        <v>222642.00000000003</v>
      </c>
      <c r="I4" s="127"/>
      <c r="J4" s="77"/>
    </row>
    <row r="5" spans="1:13" s="128" customFormat="1" x14ac:dyDescent="0.2">
      <c r="A5" s="119">
        <f t="shared" si="0"/>
        <v>4</v>
      </c>
      <c r="B5" s="349" t="s">
        <v>8</v>
      </c>
      <c r="C5" s="349"/>
      <c r="D5" s="349"/>
      <c r="E5" s="349"/>
      <c r="F5" s="349"/>
      <c r="G5" s="349"/>
      <c r="H5" s="138">
        <f>H4+H3</f>
        <v>1459542.0000000002</v>
      </c>
      <c r="I5" s="127"/>
      <c r="J5" s="77"/>
    </row>
    <row r="6" spans="1:13" s="128" customFormat="1" ht="147.75" customHeight="1" x14ac:dyDescent="0.2">
      <c r="A6" s="129" t="s">
        <v>9</v>
      </c>
      <c r="B6" s="350" t="s">
        <v>631</v>
      </c>
      <c r="C6" s="350"/>
      <c r="D6" s="350"/>
      <c r="E6" s="350"/>
      <c r="F6" s="350"/>
      <c r="G6" s="350"/>
      <c r="H6" s="350"/>
      <c r="I6" s="127"/>
      <c r="J6" s="127"/>
      <c r="M6" s="130"/>
    </row>
  </sheetData>
  <mergeCells count="4">
    <mergeCell ref="B3:G3"/>
    <mergeCell ref="B4:G4"/>
    <mergeCell ref="B5:G5"/>
    <mergeCell ref="B6:H6"/>
  </mergeCells>
  <pageMargins left="0.23622047244094491" right="0.23622047244094491" top="0.74803149606299213" bottom="0.74803149606299213" header="0.31496062992125984" footer="0.31496062992125984"/>
  <pageSetup orientation="landscape" horizontalDpi="4294967292" r:id="rId1"/>
  <headerFooter>
    <oddHeader>&amp;LCONFIANCE INDIA&amp;CPR 2020017116 (TG Spare )&amp;R9 NOV 2023</oddHeader>
    <oddFooter>Page &amp;P of &amp;N</oddFooter>
  </headerFooter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8B29B-B439-4F3E-9682-E199F83BC83F}">
  <dimension ref="A1:M7"/>
  <sheetViews>
    <sheetView zoomScaleNormal="100" zoomScaleSheetLayoutView="100" workbookViewId="0">
      <selection activeCell="B2" sqref="B2"/>
    </sheetView>
  </sheetViews>
  <sheetFormatPr defaultColWidth="9.140625" defaultRowHeight="12.75" x14ac:dyDescent="0.2"/>
  <cols>
    <col min="1" max="1" width="5.85546875" style="116" bestFit="1" customWidth="1"/>
    <col min="2" max="2" width="22.28515625" style="116" customWidth="1"/>
    <col min="3" max="3" width="15.5703125" style="116" customWidth="1"/>
    <col min="4" max="4" width="46.85546875" style="116" customWidth="1"/>
    <col min="5" max="5" width="5" style="116" bestFit="1" customWidth="1"/>
    <col min="6" max="6" width="8.7109375" style="116" customWidth="1"/>
    <col min="7" max="7" width="14.5703125" style="116" customWidth="1"/>
    <col min="8" max="8" width="18.5703125" style="116" customWidth="1"/>
    <col min="9" max="9" width="22" style="127" bestFit="1" customWidth="1"/>
    <col min="10" max="10" width="17.140625" style="77" customWidth="1"/>
    <col min="11" max="11" width="17.85546875" style="128" bestFit="1" customWidth="1"/>
    <col min="12" max="12" width="16.5703125" style="116" bestFit="1" customWidth="1"/>
    <col min="13" max="13" width="14" style="116" bestFit="1" customWidth="1"/>
    <col min="14" max="15" width="12.42578125" style="116" bestFit="1" customWidth="1"/>
    <col min="16" max="16384" width="9.140625" style="116"/>
  </cols>
  <sheetData>
    <row r="1" spans="1:13" x14ac:dyDescent="0.2">
      <c r="A1" s="115" t="s">
        <v>0</v>
      </c>
      <c r="B1" s="115" t="s">
        <v>1</v>
      </c>
      <c r="C1" s="115" t="s">
        <v>5</v>
      </c>
      <c r="D1" s="115" t="s">
        <v>2</v>
      </c>
      <c r="E1" s="115" t="s">
        <v>3</v>
      </c>
      <c r="F1" s="115" t="s">
        <v>614</v>
      </c>
      <c r="G1" s="115" t="s">
        <v>615</v>
      </c>
      <c r="H1" s="115" t="s">
        <v>119</v>
      </c>
      <c r="I1" s="115" t="s">
        <v>17</v>
      </c>
      <c r="J1" s="117" t="s">
        <v>110</v>
      </c>
      <c r="K1" s="118"/>
    </row>
    <row r="2" spans="1:13" ht="165.75" x14ac:dyDescent="0.2">
      <c r="A2" s="119">
        <f>ROW()-1</f>
        <v>1</v>
      </c>
      <c r="B2" s="119">
        <v>100724</v>
      </c>
      <c r="C2" s="119" t="s">
        <v>635</v>
      </c>
      <c r="D2" s="120" t="s">
        <v>737</v>
      </c>
      <c r="E2" s="121" t="s">
        <v>619</v>
      </c>
      <c r="F2" s="121">
        <v>1</v>
      </c>
      <c r="G2" s="137">
        <f>93*1.33*I2</f>
        <v>264696.60000000003</v>
      </c>
      <c r="H2" s="137">
        <f>G2*F2</f>
        <v>264696.60000000003</v>
      </c>
      <c r="I2" s="135">
        <v>2140</v>
      </c>
      <c r="J2" s="135">
        <v>2140</v>
      </c>
      <c r="K2" s="141"/>
      <c r="L2" s="141"/>
    </row>
    <row r="3" spans="1:13" ht="165.75" x14ac:dyDescent="0.2">
      <c r="A3" s="119">
        <f>ROW()-1</f>
        <v>2</v>
      </c>
      <c r="B3" s="119">
        <v>100724</v>
      </c>
      <c r="C3" s="119" t="s">
        <v>635</v>
      </c>
      <c r="D3" s="120" t="s">
        <v>738</v>
      </c>
      <c r="E3" s="121" t="s">
        <v>619</v>
      </c>
      <c r="F3" s="121">
        <v>1</v>
      </c>
      <c r="G3" s="137">
        <f>93*1.33*I3</f>
        <v>528156.30000000005</v>
      </c>
      <c r="H3" s="137">
        <f>G3*F3</f>
        <v>528156.30000000005</v>
      </c>
      <c r="I3" s="135">
        <v>4270</v>
      </c>
      <c r="J3" s="135">
        <v>4270</v>
      </c>
      <c r="K3" s="141"/>
      <c r="L3" s="141"/>
    </row>
    <row r="4" spans="1:13" s="128" customFormat="1" x14ac:dyDescent="0.2">
      <c r="A4" s="119">
        <f t="shared" ref="A4:A6" si="0">ROW()-1</f>
        <v>3</v>
      </c>
      <c r="B4" s="349" t="s">
        <v>7</v>
      </c>
      <c r="C4" s="349"/>
      <c r="D4" s="349"/>
      <c r="E4" s="349"/>
      <c r="F4" s="349"/>
      <c r="G4" s="349"/>
      <c r="H4" s="138">
        <f>SUM(H2:H3)</f>
        <v>792852.90000000014</v>
      </c>
      <c r="I4" s="127"/>
      <c r="J4" s="77"/>
    </row>
    <row r="5" spans="1:13" s="128" customFormat="1" x14ac:dyDescent="0.2">
      <c r="A5" s="119">
        <f t="shared" si="0"/>
        <v>4</v>
      </c>
      <c r="B5" s="349" t="s">
        <v>649</v>
      </c>
      <c r="C5" s="349"/>
      <c r="D5" s="349"/>
      <c r="E5" s="349"/>
      <c r="F5" s="349"/>
      <c r="G5" s="349"/>
      <c r="H5" s="138">
        <f>H4*18%</f>
        <v>142713.52200000003</v>
      </c>
      <c r="I5" s="127"/>
      <c r="J5" s="77"/>
    </row>
    <row r="6" spans="1:13" s="128" customFormat="1" x14ac:dyDescent="0.2">
      <c r="A6" s="119">
        <f t="shared" si="0"/>
        <v>5</v>
      </c>
      <c r="B6" s="349" t="s">
        <v>8</v>
      </c>
      <c r="C6" s="349"/>
      <c r="D6" s="349"/>
      <c r="E6" s="349"/>
      <c r="F6" s="349"/>
      <c r="G6" s="349"/>
      <c r="H6" s="138">
        <f>H5+H4</f>
        <v>935566.42200000014</v>
      </c>
      <c r="I6" s="127"/>
      <c r="J6" s="77"/>
    </row>
    <row r="7" spans="1:13" s="128" customFormat="1" ht="147.75" customHeight="1" x14ac:dyDescent="0.2">
      <c r="A7" s="129" t="s">
        <v>9</v>
      </c>
      <c r="B7" s="350" t="s">
        <v>631</v>
      </c>
      <c r="C7" s="350"/>
      <c r="D7" s="350"/>
      <c r="E7" s="350"/>
      <c r="F7" s="350"/>
      <c r="G7" s="350"/>
      <c r="H7" s="350"/>
      <c r="I7" s="127"/>
      <c r="J7" s="127"/>
      <c r="M7" s="130"/>
    </row>
  </sheetData>
  <mergeCells count="4">
    <mergeCell ref="B4:G4"/>
    <mergeCell ref="B5:G5"/>
    <mergeCell ref="B6:G6"/>
    <mergeCell ref="B7:H7"/>
  </mergeCells>
  <pageMargins left="0.23622047244094491" right="0.23622047244094491" top="0.74803149606299213" bottom="0.74803149606299213" header="0.31496062992125984" footer="0.31496062992125984"/>
  <pageSetup orientation="landscape" horizontalDpi="4294967292" r:id="rId1"/>
  <headerFooter>
    <oddHeader>&amp;LCONFIANCE INDIA&amp;CPR 2020017116 (TG Spare )&amp;R9 NOV 2023</oddHeader>
    <oddFooter>Page &amp;P of &amp;N</oddFooter>
  </headerFooter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8C0BD-0128-4875-BF24-C3C0B171107A}">
  <dimension ref="A1:P34"/>
  <sheetViews>
    <sheetView topLeftCell="B21" zoomScaleNormal="100" zoomScaleSheetLayoutView="100" workbookViewId="0">
      <selection activeCell="B23" sqref="B23"/>
    </sheetView>
  </sheetViews>
  <sheetFormatPr defaultColWidth="9.140625" defaultRowHeight="12.75" x14ac:dyDescent="0.2"/>
  <cols>
    <col min="1" max="1" width="5.85546875" style="116" bestFit="1" customWidth="1"/>
    <col min="2" max="2" width="12.5703125" style="116" customWidth="1"/>
    <col min="3" max="3" width="15.5703125" style="116" customWidth="1"/>
    <col min="4" max="4" width="52.28515625" style="116" customWidth="1"/>
    <col min="5" max="5" width="21.7109375" style="116" customWidth="1"/>
    <col min="6" max="6" width="6.5703125" style="116" customWidth="1"/>
    <col min="7" max="7" width="8.7109375" style="116" customWidth="1"/>
    <col min="8" max="8" width="14.5703125" style="116" customWidth="1"/>
    <col min="9" max="9" width="18.5703125" style="116" customWidth="1"/>
    <col min="10" max="10" width="22" style="127" bestFit="1" customWidth="1"/>
    <col min="11" max="11" width="17.140625" style="77" customWidth="1"/>
    <col min="12" max="12" width="17.85546875" style="128" bestFit="1" customWidth="1"/>
    <col min="13" max="13" width="16.5703125" style="116" bestFit="1" customWidth="1"/>
    <col min="14" max="14" width="14" style="116" bestFit="1" customWidth="1"/>
    <col min="15" max="16" width="12.42578125" style="116" bestFit="1" customWidth="1"/>
    <col min="17" max="16384" width="9.140625" style="116"/>
  </cols>
  <sheetData>
    <row r="1" spans="1:16" x14ac:dyDescent="0.2">
      <c r="A1" s="115" t="s">
        <v>0</v>
      </c>
      <c r="B1" s="115" t="s">
        <v>1</v>
      </c>
      <c r="C1" s="115" t="s">
        <v>5</v>
      </c>
      <c r="D1" s="115" t="s">
        <v>2</v>
      </c>
      <c r="E1" s="115" t="s">
        <v>767</v>
      </c>
      <c r="F1" s="115" t="s">
        <v>3</v>
      </c>
      <c r="G1" s="115" t="s">
        <v>614</v>
      </c>
      <c r="H1" s="115" t="s">
        <v>615</v>
      </c>
      <c r="I1" s="115" t="s">
        <v>119</v>
      </c>
      <c r="J1" s="115" t="s">
        <v>17</v>
      </c>
      <c r="K1" s="117" t="s">
        <v>784</v>
      </c>
      <c r="L1" s="118" t="s">
        <v>791</v>
      </c>
      <c r="M1" s="116" t="s">
        <v>792</v>
      </c>
      <c r="N1" s="116" t="s">
        <v>793</v>
      </c>
      <c r="O1" s="116" t="s">
        <v>798</v>
      </c>
      <c r="P1" s="116" t="s">
        <v>816</v>
      </c>
    </row>
    <row r="2" spans="1:16" ht="25.5" x14ac:dyDescent="0.2">
      <c r="A2" s="119">
        <f>ROW()-1</f>
        <v>1</v>
      </c>
      <c r="B2" s="156">
        <v>100023</v>
      </c>
      <c r="C2" s="119" t="s">
        <v>635</v>
      </c>
      <c r="D2" s="120" t="s">
        <v>740</v>
      </c>
      <c r="E2" s="120"/>
      <c r="F2" s="121" t="s">
        <v>619</v>
      </c>
      <c r="G2" s="121">
        <v>3</v>
      </c>
      <c r="H2" s="137"/>
      <c r="I2" s="137"/>
      <c r="J2" s="135"/>
      <c r="K2" s="135"/>
      <c r="L2" s="141"/>
      <c r="M2" s="141"/>
    </row>
    <row r="3" spans="1:16" ht="25.5" x14ac:dyDescent="0.2">
      <c r="A3" s="119">
        <f t="shared" ref="A3:A30" si="0">ROW()-1</f>
        <v>2</v>
      </c>
      <c r="B3" s="156">
        <v>100025</v>
      </c>
      <c r="C3" s="119" t="s">
        <v>635</v>
      </c>
      <c r="D3" s="120" t="s">
        <v>741</v>
      </c>
      <c r="E3" s="120" t="s">
        <v>768</v>
      </c>
      <c r="F3" s="121" t="s">
        <v>619</v>
      </c>
      <c r="G3" s="121">
        <v>4</v>
      </c>
      <c r="H3" s="157">
        <f>J3</f>
        <v>38000</v>
      </c>
      <c r="I3" s="157">
        <f t="shared" ref="I3" si="1">H3*G3</f>
        <v>152000</v>
      </c>
      <c r="J3" s="162">
        <v>38000</v>
      </c>
      <c r="K3" s="135" t="s">
        <v>785</v>
      </c>
      <c r="L3" s="141"/>
      <c r="M3" s="141"/>
    </row>
    <row r="4" spans="1:16" ht="38.25" x14ac:dyDescent="0.2">
      <c r="A4" s="119">
        <f t="shared" si="0"/>
        <v>3</v>
      </c>
      <c r="B4" s="156">
        <v>100030</v>
      </c>
      <c r="C4" s="119" t="s">
        <v>635</v>
      </c>
      <c r="D4" s="120" t="s">
        <v>742</v>
      </c>
      <c r="E4" s="120" t="s">
        <v>769</v>
      </c>
      <c r="F4" s="121" t="s">
        <v>619</v>
      </c>
      <c r="G4" s="121">
        <v>1</v>
      </c>
      <c r="H4" s="137"/>
      <c r="I4" s="137"/>
      <c r="J4" s="135"/>
      <c r="K4" s="135"/>
      <c r="L4" s="141"/>
      <c r="M4" s="141"/>
    </row>
    <row r="5" spans="1:16" ht="25.5" x14ac:dyDescent="0.2">
      <c r="A5" s="119">
        <f t="shared" si="0"/>
        <v>4</v>
      </c>
      <c r="B5" s="156">
        <v>100030</v>
      </c>
      <c r="C5" s="119" t="s">
        <v>635</v>
      </c>
      <c r="D5" s="120" t="s">
        <v>743</v>
      </c>
      <c r="E5" s="120" t="s">
        <v>769</v>
      </c>
      <c r="F5" s="121" t="s">
        <v>619</v>
      </c>
      <c r="G5" s="121">
        <v>1</v>
      </c>
      <c r="H5" s="137"/>
      <c r="I5" s="137"/>
      <c r="J5" s="135"/>
      <c r="K5" s="135"/>
      <c r="L5" s="141"/>
      <c r="M5" s="141"/>
    </row>
    <row r="6" spans="1:16" ht="25.5" x14ac:dyDescent="0.2">
      <c r="A6" s="119">
        <f t="shared" si="0"/>
        <v>5</v>
      </c>
      <c r="B6" s="156">
        <v>100030</v>
      </c>
      <c r="C6" s="119" t="s">
        <v>635</v>
      </c>
      <c r="D6" s="120" t="s">
        <v>744</v>
      </c>
      <c r="E6" s="120" t="s">
        <v>770</v>
      </c>
      <c r="F6" s="121" t="s">
        <v>619</v>
      </c>
      <c r="G6" s="121">
        <v>1</v>
      </c>
      <c r="H6" s="137">
        <f t="shared" ref="H6" si="2">93*1.33*J6</f>
        <v>0</v>
      </c>
      <c r="I6" s="137"/>
      <c r="J6" s="135"/>
      <c r="K6" s="135"/>
      <c r="L6" s="141"/>
      <c r="M6" s="141"/>
    </row>
    <row r="7" spans="1:16" ht="25.5" x14ac:dyDescent="0.2">
      <c r="A7" s="119">
        <f t="shared" si="0"/>
        <v>6</v>
      </c>
      <c r="B7" s="119">
        <v>100044</v>
      </c>
      <c r="C7" s="119" t="s">
        <v>635</v>
      </c>
      <c r="D7" s="120" t="s">
        <v>745</v>
      </c>
      <c r="E7" s="120"/>
      <c r="F7" s="121" t="s">
        <v>619</v>
      </c>
      <c r="G7" s="121">
        <v>2</v>
      </c>
      <c r="H7" s="137"/>
      <c r="I7" s="137"/>
      <c r="J7" s="139"/>
      <c r="K7" s="135"/>
      <c r="L7" s="141"/>
      <c r="M7" s="141"/>
    </row>
    <row r="8" spans="1:16" ht="51" x14ac:dyDescent="0.2">
      <c r="A8" s="119">
        <f t="shared" si="0"/>
        <v>7</v>
      </c>
      <c r="B8" s="119">
        <v>100044</v>
      </c>
      <c r="C8" s="119" t="s">
        <v>635</v>
      </c>
      <c r="D8" s="120" t="s">
        <v>629</v>
      </c>
      <c r="E8" s="120"/>
      <c r="F8" s="121" t="s">
        <v>619</v>
      </c>
      <c r="G8" s="121">
        <v>1</v>
      </c>
      <c r="H8" s="137"/>
      <c r="I8" s="137"/>
      <c r="J8" s="117"/>
      <c r="K8" s="117"/>
      <c r="L8" s="141"/>
      <c r="M8" s="141"/>
    </row>
    <row r="9" spans="1:16" ht="25.5" x14ac:dyDescent="0.2">
      <c r="A9" s="119">
        <f t="shared" si="0"/>
        <v>8</v>
      </c>
      <c r="B9" s="156">
        <v>100218</v>
      </c>
      <c r="C9" s="119" t="s">
        <v>635</v>
      </c>
      <c r="D9" s="120" t="s">
        <v>746</v>
      </c>
      <c r="E9" s="120" t="s">
        <v>771</v>
      </c>
      <c r="F9" s="121" t="s">
        <v>619</v>
      </c>
      <c r="G9" s="121">
        <v>12</v>
      </c>
      <c r="H9" s="137"/>
      <c r="I9" s="137"/>
      <c r="J9" s="135"/>
      <c r="K9" s="135"/>
      <c r="L9" s="141"/>
      <c r="M9" s="141"/>
      <c r="O9" s="154">
        <v>7000</v>
      </c>
    </row>
    <row r="10" spans="1:16" ht="89.25" x14ac:dyDescent="0.2">
      <c r="A10" s="119">
        <f t="shared" si="0"/>
        <v>9</v>
      </c>
      <c r="B10" s="156">
        <v>100461</v>
      </c>
      <c r="C10" s="119" t="s">
        <v>635</v>
      </c>
      <c r="D10" s="120" t="s">
        <v>747</v>
      </c>
      <c r="E10" s="120" t="s">
        <v>772</v>
      </c>
      <c r="F10" s="121" t="s">
        <v>634</v>
      </c>
      <c r="G10" s="121">
        <v>1</v>
      </c>
      <c r="H10" s="137"/>
      <c r="I10" s="137"/>
      <c r="J10" s="135"/>
      <c r="K10" s="135"/>
      <c r="L10" s="141"/>
      <c r="M10" s="141"/>
    </row>
    <row r="11" spans="1:16" ht="63.75" x14ac:dyDescent="0.2">
      <c r="A11" s="119">
        <f t="shared" si="0"/>
        <v>10</v>
      </c>
      <c r="B11" s="156">
        <v>100493</v>
      </c>
      <c r="C11" s="119" t="s">
        <v>635</v>
      </c>
      <c r="D11" s="120" t="s">
        <v>748</v>
      </c>
      <c r="E11" s="120" t="s">
        <v>773</v>
      </c>
      <c r="F11" s="121" t="s">
        <v>634</v>
      </c>
      <c r="G11" s="121">
        <v>2</v>
      </c>
      <c r="H11" s="157">
        <f>90*1.3*J11</f>
        <v>327600</v>
      </c>
      <c r="I11" s="157"/>
      <c r="J11" s="158">
        <v>2800</v>
      </c>
      <c r="K11" s="135" t="s">
        <v>785</v>
      </c>
      <c r="L11" s="141"/>
      <c r="M11" s="141"/>
    </row>
    <row r="12" spans="1:16" ht="63.75" x14ac:dyDescent="0.2">
      <c r="A12" s="119">
        <f t="shared" si="0"/>
        <v>11</v>
      </c>
      <c r="B12" s="156">
        <v>100652</v>
      </c>
      <c r="C12" s="119" t="s">
        <v>635</v>
      </c>
      <c r="D12" s="120" t="s">
        <v>749</v>
      </c>
      <c r="E12" s="120"/>
      <c r="F12" s="121" t="s">
        <v>634</v>
      </c>
      <c r="G12" s="121">
        <v>1</v>
      </c>
      <c r="H12" s="137"/>
      <c r="I12" s="137"/>
      <c r="J12" s="135"/>
      <c r="K12" s="135"/>
      <c r="L12" s="141"/>
      <c r="M12" s="141"/>
    </row>
    <row r="13" spans="1:16" x14ac:dyDescent="0.2">
      <c r="A13" s="119">
        <f t="shared" si="0"/>
        <v>12</v>
      </c>
      <c r="B13" s="156">
        <v>100717</v>
      </c>
      <c r="C13" s="119" t="s">
        <v>635</v>
      </c>
      <c r="D13" s="120" t="s">
        <v>750</v>
      </c>
      <c r="E13" s="120"/>
      <c r="F13" s="121" t="s">
        <v>634</v>
      </c>
      <c r="G13" s="121">
        <v>16</v>
      </c>
      <c r="H13" s="137"/>
      <c r="I13" s="137"/>
      <c r="J13" s="135"/>
      <c r="K13" s="135"/>
      <c r="L13" s="141"/>
      <c r="M13" s="141"/>
    </row>
    <row r="14" spans="1:16" ht="51" x14ac:dyDescent="0.2">
      <c r="A14" s="119">
        <f t="shared" si="0"/>
        <v>13</v>
      </c>
      <c r="B14" s="156">
        <v>100724</v>
      </c>
      <c r="C14" s="119" t="s">
        <v>635</v>
      </c>
      <c r="D14" s="120" t="s">
        <v>751</v>
      </c>
      <c r="E14" s="120" t="s">
        <v>774</v>
      </c>
      <c r="F14" s="121" t="s">
        <v>634</v>
      </c>
      <c r="G14" s="121">
        <v>4</v>
      </c>
      <c r="H14" s="137"/>
      <c r="I14" s="137"/>
      <c r="J14" s="135"/>
      <c r="K14" s="135"/>
      <c r="L14" s="141"/>
      <c r="M14" s="141"/>
    </row>
    <row r="15" spans="1:16" ht="76.5" x14ac:dyDescent="0.2">
      <c r="A15" s="119">
        <f t="shared" si="0"/>
        <v>14</v>
      </c>
      <c r="B15" s="156">
        <v>100891</v>
      </c>
      <c r="C15" s="119" t="s">
        <v>635</v>
      </c>
      <c r="D15" s="120" t="s">
        <v>752</v>
      </c>
      <c r="E15" s="120" t="s">
        <v>775</v>
      </c>
      <c r="F15" s="121" t="s">
        <v>634</v>
      </c>
      <c r="G15" s="121">
        <v>2</v>
      </c>
      <c r="H15" s="137"/>
      <c r="I15" s="137"/>
      <c r="J15" s="135"/>
      <c r="K15" s="135" t="s">
        <v>252</v>
      </c>
      <c r="L15" s="141"/>
      <c r="M15" s="141"/>
    </row>
    <row r="16" spans="1:16" ht="25.5" x14ac:dyDescent="0.2">
      <c r="A16" s="119">
        <f t="shared" si="0"/>
        <v>15</v>
      </c>
      <c r="B16" s="156">
        <v>100898</v>
      </c>
      <c r="C16" s="119" t="s">
        <v>635</v>
      </c>
      <c r="D16" s="120" t="s">
        <v>753</v>
      </c>
      <c r="E16" s="120"/>
      <c r="F16" s="121" t="s">
        <v>739</v>
      </c>
      <c r="G16" s="121">
        <v>1</v>
      </c>
      <c r="H16" s="137"/>
      <c r="I16" s="137"/>
      <c r="J16" s="135"/>
      <c r="K16" s="135" t="s">
        <v>786</v>
      </c>
      <c r="L16" s="141"/>
      <c r="M16" s="141"/>
    </row>
    <row r="17" spans="1:16" ht="25.5" x14ac:dyDescent="0.2">
      <c r="A17" s="119">
        <f t="shared" si="0"/>
        <v>16</v>
      </c>
      <c r="B17" s="156">
        <v>100258</v>
      </c>
      <c r="C17" s="119" t="s">
        <v>635</v>
      </c>
      <c r="D17" s="120" t="s">
        <v>754</v>
      </c>
      <c r="E17" s="120"/>
      <c r="F17" s="121" t="s">
        <v>619</v>
      </c>
      <c r="G17" s="121">
        <v>10</v>
      </c>
      <c r="H17" s="137"/>
      <c r="I17" s="137"/>
      <c r="J17" s="135"/>
      <c r="K17" s="135"/>
      <c r="L17" s="141"/>
      <c r="M17" s="141"/>
    </row>
    <row r="18" spans="1:16" ht="25.5" x14ac:dyDescent="0.2">
      <c r="A18" s="119">
        <f t="shared" si="0"/>
        <v>17</v>
      </c>
      <c r="B18" s="156">
        <v>100815</v>
      </c>
      <c r="C18" s="119" t="s">
        <v>635</v>
      </c>
      <c r="D18" s="120" t="s">
        <v>755</v>
      </c>
      <c r="E18" s="120" t="s">
        <v>776</v>
      </c>
      <c r="F18" s="121" t="s">
        <v>634</v>
      </c>
      <c r="G18" s="121">
        <v>14</v>
      </c>
      <c r="H18" s="137"/>
      <c r="I18" s="137"/>
      <c r="J18" s="135"/>
      <c r="K18" s="135"/>
      <c r="L18" s="141"/>
      <c r="M18" s="141"/>
      <c r="P18" s="154">
        <v>1080</v>
      </c>
    </row>
    <row r="19" spans="1:16" ht="25.5" x14ac:dyDescent="0.2">
      <c r="A19" s="119">
        <f t="shared" si="0"/>
        <v>18</v>
      </c>
      <c r="B19" s="156">
        <v>100852</v>
      </c>
      <c r="C19" s="119" t="s">
        <v>635</v>
      </c>
      <c r="D19" s="120" t="s">
        <v>756</v>
      </c>
      <c r="E19" s="120"/>
      <c r="F19" s="121" t="s">
        <v>634</v>
      </c>
      <c r="G19" s="121">
        <v>20</v>
      </c>
      <c r="H19" s="137"/>
      <c r="I19" s="137"/>
      <c r="J19" s="135"/>
      <c r="K19" s="135"/>
      <c r="L19" s="141"/>
      <c r="M19" s="141"/>
    </row>
    <row r="20" spans="1:16" ht="25.5" x14ac:dyDescent="0.2">
      <c r="A20" s="119">
        <f t="shared" si="0"/>
        <v>19</v>
      </c>
      <c r="B20" s="156">
        <v>100852</v>
      </c>
      <c r="C20" s="119" t="s">
        <v>635</v>
      </c>
      <c r="D20" s="120" t="s">
        <v>757</v>
      </c>
      <c r="E20" s="120" t="s">
        <v>778</v>
      </c>
      <c r="F20" s="121" t="s">
        <v>634</v>
      </c>
      <c r="G20" s="121">
        <v>10</v>
      </c>
      <c r="H20" s="137"/>
      <c r="I20" s="137"/>
      <c r="J20" s="135"/>
      <c r="K20" s="135"/>
      <c r="L20" s="141"/>
      <c r="M20" s="141"/>
      <c r="N20" s="154">
        <v>228.78</v>
      </c>
    </row>
    <row r="21" spans="1:16" ht="38.25" x14ac:dyDescent="0.2">
      <c r="A21" s="119">
        <f t="shared" si="0"/>
        <v>20</v>
      </c>
      <c r="B21" s="156">
        <v>100652</v>
      </c>
      <c r="C21" s="119" t="s">
        <v>635</v>
      </c>
      <c r="D21" s="120" t="s">
        <v>758</v>
      </c>
      <c r="E21" s="120" t="s">
        <v>779</v>
      </c>
      <c r="F21" s="121" t="s">
        <v>634</v>
      </c>
      <c r="G21" s="121">
        <v>10</v>
      </c>
      <c r="H21" s="137"/>
      <c r="I21" s="137"/>
      <c r="J21" s="135"/>
      <c r="K21" s="135"/>
      <c r="L21" s="152">
        <v>2550</v>
      </c>
      <c r="M21" s="141"/>
    </row>
    <row r="22" spans="1:16" ht="63.75" x14ac:dyDescent="0.2">
      <c r="A22" s="119">
        <f t="shared" si="0"/>
        <v>21</v>
      </c>
      <c r="B22" s="156">
        <v>100533</v>
      </c>
      <c r="C22" s="119" t="s">
        <v>635</v>
      </c>
      <c r="D22" s="120" t="s">
        <v>759</v>
      </c>
      <c r="E22" s="120"/>
      <c r="F22" s="121" t="s">
        <v>634</v>
      </c>
      <c r="G22" s="121">
        <v>2</v>
      </c>
      <c r="H22" s="137"/>
      <c r="I22" s="137"/>
      <c r="J22" s="135"/>
      <c r="K22" s="117" t="s">
        <v>787</v>
      </c>
      <c r="L22" s="141"/>
      <c r="M22" s="141"/>
    </row>
    <row r="23" spans="1:16" ht="51" x14ac:dyDescent="0.2">
      <c r="A23" s="119">
        <f t="shared" si="0"/>
        <v>22</v>
      </c>
      <c r="B23" s="119">
        <v>100044</v>
      </c>
      <c r="C23" s="119" t="s">
        <v>635</v>
      </c>
      <c r="D23" s="120" t="s">
        <v>629</v>
      </c>
      <c r="E23" s="120"/>
      <c r="F23" s="121" t="s">
        <v>634</v>
      </c>
      <c r="G23" s="121">
        <v>1</v>
      </c>
      <c r="H23" s="137"/>
      <c r="I23" s="137"/>
      <c r="J23" s="117"/>
      <c r="K23" s="117" t="s">
        <v>787</v>
      </c>
      <c r="L23" s="141"/>
      <c r="M23" s="141"/>
    </row>
    <row r="24" spans="1:16" ht="25.5" x14ac:dyDescent="0.2">
      <c r="A24" s="119">
        <f t="shared" si="0"/>
        <v>23</v>
      </c>
      <c r="B24" s="156">
        <v>100258</v>
      </c>
      <c r="C24" s="119" t="s">
        <v>635</v>
      </c>
      <c r="D24" s="120" t="s">
        <v>760</v>
      </c>
      <c r="E24" s="120" t="s">
        <v>777</v>
      </c>
      <c r="F24" s="121" t="s">
        <v>619</v>
      </c>
      <c r="G24" s="121">
        <v>15</v>
      </c>
      <c r="H24" s="137"/>
      <c r="I24" s="137"/>
      <c r="J24" s="135"/>
      <c r="K24" s="135"/>
      <c r="L24" s="141"/>
      <c r="M24" s="152">
        <v>2125</v>
      </c>
    </row>
    <row r="25" spans="1:16" ht="25.5" x14ac:dyDescent="0.2">
      <c r="A25" s="119">
        <f t="shared" si="0"/>
        <v>24</v>
      </c>
      <c r="B25" s="156">
        <v>100025</v>
      </c>
      <c r="C25" s="119" t="s">
        <v>635</v>
      </c>
      <c r="D25" s="120" t="s">
        <v>761</v>
      </c>
      <c r="E25" s="120" t="s">
        <v>777</v>
      </c>
      <c r="F25" s="121" t="s">
        <v>619</v>
      </c>
      <c r="G25" s="121">
        <v>15</v>
      </c>
      <c r="H25" s="137"/>
      <c r="I25" s="137"/>
      <c r="J25" s="135"/>
      <c r="K25" s="135"/>
      <c r="L25" s="141"/>
      <c r="M25" s="152">
        <v>1775</v>
      </c>
    </row>
    <row r="26" spans="1:16" ht="76.5" x14ac:dyDescent="0.2">
      <c r="A26" s="119">
        <f t="shared" si="0"/>
        <v>25</v>
      </c>
      <c r="B26" s="156">
        <v>100481</v>
      </c>
      <c r="C26" s="119" t="s">
        <v>635</v>
      </c>
      <c r="D26" s="120" t="s">
        <v>762</v>
      </c>
      <c r="E26" s="120" t="s">
        <v>780</v>
      </c>
      <c r="F26" s="121" t="s">
        <v>634</v>
      </c>
      <c r="G26" s="121">
        <v>10</v>
      </c>
      <c r="H26" s="137"/>
      <c r="I26" s="137"/>
      <c r="J26" s="135"/>
      <c r="K26" s="135"/>
      <c r="L26" s="141"/>
      <c r="M26" s="141"/>
    </row>
    <row r="27" spans="1:16" ht="25.5" x14ac:dyDescent="0.2">
      <c r="A27" s="119">
        <f t="shared" si="0"/>
        <v>26</v>
      </c>
      <c r="B27" s="156">
        <v>100218</v>
      </c>
      <c r="C27" s="119" t="s">
        <v>635</v>
      </c>
      <c r="D27" s="120" t="s">
        <v>763</v>
      </c>
      <c r="E27" s="120" t="s">
        <v>781</v>
      </c>
      <c r="F27" s="121" t="s">
        <v>619</v>
      </c>
      <c r="G27" s="121">
        <v>30</v>
      </c>
      <c r="H27" s="137"/>
      <c r="I27" s="137"/>
      <c r="J27" s="135"/>
      <c r="K27" s="135" t="s">
        <v>788</v>
      </c>
      <c r="L27" s="141"/>
      <c r="M27" s="141"/>
    </row>
    <row r="28" spans="1:16" ht="38.25" x14ac:dyDescent="0.2">
      <c r="A28" s="119">
        <f t="shared" si="0"/>
        <v>27</v>
      </c>
      <c r="B28" s="156">
        <v>100703</v>
      </c>
      <c r="C28" s="119" t="s">
        <v>635</v>
      </c>
      <c r="D28" s="120" t="s">
        <v>764</v>
      </c>
      <c r="E28" s="120"/>
      <c r="F28" s="121" t="s">
        <v>634</v>
      </c>
      <c r="G28" s="121">
        <v>2</v>
      </c>
      <c r="H28" s="137"/>
      <c r="I28" s="137"/>
      <c r="J28" s="135"/>
      <c r="K28" s="135" t="s">
        <v>788</v>
      </c>
      <c r="L28" s="141"/>
      <c r="M28" s="141"/>
    </row>
    <row r="29" spans="1:16" ht="38.25" x14ac:dyDescent="0.2">
      <c r="A29" s="119">
        <f t="shared" si="0"/>
        <v>28</v>
      </c>
      <c r="B29" s="156">
        <v>100703</v>
      </c>
      <c r="C29" s="119" t="s">
        <v>635</v>
      </c>
      <c r="D29" s="120" t="s">
        <v>765</v>
      </c>
      <c r="E29" s="120" t="s">
        <v>782</v>
      </c>
      <c r="F29" s="121" t="s">
        <v>634</v>
      </c>
      <c r="G29" s="121">
        <v>2</v>
      </c>
      <c r="H29" s="137"/>
      <c r="I29" s="137"/>
      <c r="J29" s="135"/>
      <c r="K29" s="135" t="s">
        <v>788</v>
      </c>
      <c r="L29" s="141"/>
      <c r="M29" s="141"/>
    </row>
    <row r="30" spans="1:16" ht="25.5" x14ac:dyDescent="0.2">
      <c r="A30" s="119">
        <f t="shared" si="0"/>
        <v>29</v>
      </c>
      <c r="B30" s="156">
        <v>100067</v>
      </c>
      <c r="C30" s="119" t="s">
        <v>635</v>
      </c>
      <c r="D30" s="120" t="s">
        <v>766</v>
      </c>
      <c r="E30" s="120" t="s">
        <v>783</v>
      </c>
      <c r="F30" s="121" t="s">
        <v>619</v>
      </c>
      <c r="G30" s="121">
        <v>8</v>
      </c>
      <c r="H30" s="137"/>
      <c r="I30" s="137"/>
      <c r="J30" s="135"/>
      <c r="K30" s="135" t="s">
        <v>788</v>
      </c>
      <c r="L30" s="141"/>
      <c r="M30" s="141"/>
    </row>
    <row r="31" spans="1:16" s="128" customFormat="1" x14ac:dyDescent="0.2">
      <c r="A31" s="119">
        <f t="shared" ref="A31:A33" si="3">ROW()-1</f>
        <v>30</v>
      </c>
      <c r="B31" s="349" t="s">
        <v>7</v>
      </c>
      <c r="C31" s="349"/>
      <c r="D31" s="349"/>
      <c r="E31" s="349"/>
      <c r="F31" s="349"/>
      <c r="G31" s="349"/>
      <c r="H31" s="349"/>
      <c r="I31" s="138">
        <f>SUM(I2:I30)</f>
        <v>152000</v>
      </c>
      <c r="J31" s="127"/>
      <c r="K31" s="77"/>
    </row>
    <row r="32" spans="1:16" s="128" customFormat="1" x14ac:dyDescent="0.2">
      <c r="A32" s="119">
        <f t="shared" si="3"/>
        <v>31</v>
      </c>
      <c r="B32" s="349" t="s">
        <v>649</v>
      </c>
      <c r="C32" s="349"/>
      <c r="D32" s="349"/>
      <c r="E32" s="349"/>
      <c r="F32" s="349"/>
      <c r="G32" s="349"/>
      <c r="H32" s="349"/>
      <c r="I32" s="138">
        <f>I31*18%</f>
        <v>27360</v>
      </c>
      <c r="J32" s="127"/>
      <c r="K32" s="77"/>
    </row>
    <row r="33" spans="1:14" s="128" customFormat="1" x14ac:dyDescent="0.2">
      <c r="A33" s="119">
        <f t="shared" si="3"/>
        <v>32</v>
      </c>
      <c r="B33" s="349" t="s">
        <v>8</v>
      </c>
      <c r="C33" s="349"/>
      <c r="D33" s="349"/>
      <c r="E33" s="349"/>
      <c r="F33" s="349"/>
      <c r="G33" s="349"/>
      <c r="H33" s="349"/>
      <c r="I33" s="138">
        <f>I32+I31</f>
        <v>179360</v>
      </c>
      <c r="J33" s="127"/>
      <c r="K33" s="77"/>
    </row>
    <row r="34" spans="1:14" s="128" customFormat="1" ht="147.75" customHeight="1" x14ac:dyDescent="0.2">
      <c r="A34" s="129" t="s">
        <v>9</v>
      </c>
      <c r="B34" s="350" t="s">
        <v>631</v>
      </c>
      <c r="C34" s="350"/>
      <c r="D34" s="350"/>
      <c r="E34" s="350"/>
      <c r="F34" s="350"/>
      <c r="G34" s="350"/>
      <c r="H34" s="350"/>
      <c r="I34" s="350"/>
      <c r="J34" s="127"/>
      <c r="K34" s="127"/>
      <c r="N34" s="130"/>
    </row>
  </sheetData>
  <mergeCells count="4">
    <mergeCell ref="B31:H31"/>
    <mergeCell ref="B32:H32"/>
    <mergeCell ref="B33:H33"/>
    <mergeCell ref="B34:I34"/>
  </mergeCells>
  <pageMargins left="0.23622047244094491" right="0.23622047244094491" top="0.74803149606299213" bottom="0.74803149606299213" header="0.31496062992125984" footer="0.31496062992125984"/>
  <pageSetup orientation="landscape" horizontalDpi="4294967292" r:id="rId1"/>
  <headerFooter>
    <oddHeader>&amp;LCONFIANCE INDIA&amp;CPR 2020017116 (TG Spare )&amp;R9 NOV 2023</oddHeader>
    <oddFooter>Page &amp;P of &amp;N</oddFooter>
  </headerFooter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887E5-EB67-46EF-B8C0-6AD4EEC8F166}">
  <dimension ref="A1:M6"/>
  <sheetViews>
    <sheetView zoomScaleNormal="100" zoomScaleSheetLayoutView="100" workbookViewId="0">
      <selection activeCell="I23" sqref="I23"/>
    </sheetView>
  </sheetViews>
  <sheetFormatPr defaultColWidth="9.140625" defaultRowHeight="12.75" x14ac:dyDescent="0.2"/>
  <cols>
    <col min="1" max="1" width="5.85546875" style="116" bestFit="1" customWidth="1"/>
    <col min="2" max="2" width="12.7109375" style="116" customWidth="1"/>
    <col min="3" max="3" width="14.7109375" style="116" customWidth="1"/>
    <col min="4" max="4" width="58.42578125" style="116" customWidth="1"/>
    <col min="5" max="5" width="5" style="116" bestFit="1" customWidth="1"/>
    <col min="6" max="6" width="8.7109375" style="116" customWidth="1"/>
    <col min="7" max="7" width="11.5703125" style="116" bestFit="1" customWidth="1"/>
    <col min="8" max="8" width="10.140625" style="116" bestFit="1" customWidth="1"/>
    <col min="9" max="9" width="22" style="127" bestFit="1" customWidth="1"/>
    <col min="10" max="10" width="17.140625" style="77" customWidth="1"/>
    <col min="11" max="11" width="17.85546875" style="128" bestFit="1" customWidth="1"/>
    <col min="12" max="12" width="16.5703125" style="116" bestFit="1" customWidth="1"/>
    <col min="13" max="13" width="14" style="116" bestFit="1" customWidth="1"/>
    <col min="14" max="15" width="12.42578125" style="116" bestFit="1" customWidth="1"/>
    <col min="16" max="16384" width="9.140625" style="116"/>
  </cols>
  <sheetData>
    <row r="1" spans="1:13" x14ac:dyDescent="0.2">
      <c r="A1" s="115" t="s">
        <v>0</v>
      </c>
      <c r="B1" s="115" t="s">
        <v>1</v>
      </c>
      <c r="C1" s="115" t="s">
        <v>5</v>
      </c>
      <c r="D1" s="115" t="s">
        <v>2</v>
      </c>
      <c r="E1" s="115" t="s">
        <v>3</v>
      </c>
      <c r="F1" s="115" t="s">
        <v>614</v>
      </c>
      <c r="G1" s="115" t="s">
        <v>615</v>
      </c>
      <c r="H1" s="115" t="s">
        <v>119</v>
      </c>
      <c r="I1" s="115" t="s">
        <v>17</v>
      </c>
      <c r="J1" s="117" t="s">
        <v>790</v>
      </c>
      <c r="K1" s="118"/>
    </row>
    <row r="2" spans="1:13" ht="76.5" x14ac:dyDescent="0.2">
      <c r="A2" s="119">
        <f>ROW()-1</f>
        <v>1</v>
      </c>
      <c r="B2" s="119">
        <v>100493</v>
      </c>
      <c r="C2" s="119" t="s">
        <v>635</v>
      </c>
      <c r="D2" s="120" t="s">
        <v>789</v>
      </c>
      <c r="E2" s="121" t="s">
        <v>619</v>
      </c>
      <c r="F2" s="121">
        <v>2</v>
      </c>
      <c r="G2" s="137">
        <f>90*1.3*I2</f>
        <v>327600</v>
      </c>
      <c r="H2" s="137">
        <f>G2*F2</f>
        <v>655200</v>
      </c>
      <c r="I2" s="135">
        <v>2800</v>
      </c>
      <c r="J2" s="135">
        <v>2800</v>
      </c>
      <c r="K2" s="141"/>
      <c r="L2" s="141"/>
    </row>
    <row r="3" spans="1:13" s="128" customFormat="1" x14ac:dyDescent="0.2">
      <c r="A3" s="119">
        <f t="shared" ref="A3:A5" si="0">ROW()-1</f>
        <v>2</v>
      </c>
      <c r="B3" s="349" t="s">
        <v>7</v>
      </c>
      <c r="C3" s="349"/>
      <c r="D3" s="349"/>
      <c r="E3" s="349"/>
      <c r="F3" s="349"/>
      <c r="G3" s="349"/>
      <c r="H3" s="138">
        <f>SUM(H2:H2)</f>
        <v>655200</v>
      </c>
      <c r="I3" s="127"/>
      <c r="J3" s="77"/>
    </row>
    <row r="4" spans="1:13" s="128" customFormat="1" x14ac:dyDescent="0.2">
      <c r="A4" s="119">
        <f t="shared" si="0"/>
        <v>3</v>
      </c>
      <c r="B4" s="349" t="s">
        <v>649</v>
      </c>
      <c r="C4" s="349"/>
      <c r="D4" s="349"/>
      <c r="E4" s="349"/>
      <c r="F4" s="349"/>
      <c r="G4" s="349"/>
      <c r="H4" s="138">
        <f>H3*18%</f>
        <v>117936</v>
      </c>
      <c r="I4" s="127"/>
      <c r="J4" s="77"/>
    </row>
    <row r="5" spans="1:13" s="128" customFormat="1" x14ac:dyDescent="0.2">
      <c r="A5" s="119">
        <f t="shared" si="0"/>
        <v>4</v>
      </c>
      <c r="B5" s="349" t="s">
        <v>8</v>
      </c>
      <c r="C5" s="349"/>
      <c r="D5" s="349"/>
      <c r="E5" s="349"/>
      <c r="F5" s="349"/>
      <c r="G5" s="349"/>
      <c r="H5" s="138">
        <f>H4+H3</f>
        <v>773136</v>
      </c>
      <c r="I5" s="127"/>
      <c r="J5" s="77"/>
    </row>
    <row r="6" spans="1:13" s="128" customFormat="1" ht="147.75" customHeight="1" x14ac:dyDescent="0.2">
      <c r="A6" s="129" t="s">
        <v>9</v>
      </c>
      <c r="B6" s="350" t="s">
        <v>631</v>
      </c>
      <c r="C6" s="350"/>
      <c r="D6" s="350"/>
      <c r="E6" s="350"/>
      <c r="F6" s="350"/>
      <c r="G6" s="350"/>
      <c r="H6" s="350"/>
      <c r="I6" s="127"/>
      <c r="J6" s="127"/>
      <c r="M6" s="130"/>
    </row>
  </sheetData>
  <mergeCells count="4">
    <mergeCell ref="B3:G3"/>
    <mergeCell ref="B4:G4"/>
    <mergeCell ref="B5:G5"/>
    <mergeCell ref="B6:H6"/>
  </mergeCells>
  <pageMargins left="0.23622047244094491" right="0.23622047244094491" top="0.74803149606299213" bottom="0.74803149606299213" header="0.31496062992125984" footer="0.31496062992125984"/>
  <pageSetup orientation="landscape" horizontalDpi="4294967292" r:id="rId1"/>
  <headerFooter>
    <oddHeader>&amp;LCONFIANCE INDIA&amp;CPR 2020017116 (TG Spare )&amp;R9 NOV 2023</oddHeader>
    <oddFooter>Page &amp;P of &amp;N</oddFooter>
  </headerFooter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4BFB4-B3C8-4EFF-8D41-7A5A64D4C5A0}">
  <dimension ref="A1:M6"/>
  <sheetViews>
    <sheetView zoomScaleNormal="100" zoomScaleSheetLayoutView="100" workbookViewId="0">
      <selection activeCell="J13" sqref="J13"/>
    </sheetView>
  </sheetViews>
  <sheetFormatPr defaultColWidth="9.140625" defaultRowHeight="12.75" x14ac:dyDescent="0.2"/>
  <cols>
    <col min="1" max="1" width="5.85546875" style="116" bestFit="1" customWidth="1"/>
    <col min="2" max="2" width="15.28515625" style="116" bestFit="1" customWidth="1"/>
    <col min="3" max="3" width="14.7109375" style="116" customWidth="1"/>
    <col min="4" max="4" width="58.42578125" style="116" customWidth="1"/>
    <col min="5" max="5" width="5" style="116" bestFit="1" customWidth="1"/>
    <col min="6" max="6" width="8.7109375" style="116" customWidth="1"/>
    <col min="7" max="7" width="11.5703125" style="116" bestFit="1" customWidth="1"/>
    <col min="8" max="8" width="10.140625" style="116" bestFit="1" customWidth="1"/>
    <col min="9" max="9" width="23.5703125" style="127" bestFit="1" customWidth="1"/>
    <col min="10" max="10" width="17.140625" style="77" customWidth="1"/>
    <col min="11" max="11" width="17.85546875" style="128" bestFit="1" customWidth="1"/>
    <col min="12" max="12" width="16.5703125" style="116" bestFit="1" customWidth="1"/>
    <col min="13" max="13" width="14" style="116" bestFit="1" customWidth="1"/>
    <col min="14" max="15" width="12.42578125" style="116" bestFit="1" customWidth="1"/>
    <col min="16" max="16384" width="9.140625" style="116"/>
  </cols>
  <sheetData>
    <row r="1" spans="1:13" x14ac:dyDescent="0.2">
      <c r="A1" s="115" t="s">
        <v>0</v>
      </c>
      <c r="B1" s="115" t="s">
        <v>1</v>
      </c>
      <c r="C1" s="115" t="s">
        <v>5</v>
      </c>
      <c r="D1" s="115" t="s">
        <v>2</v>
      </c>
      <c r="E1" s="115" t="s">
        <v>3</v>
      </c>
      <c r="F1" s="115" t="s">
        <v>614</v>
      </c>
      <c r="G1" s="115" t="s">
        <v>615</v>
      </c>
      <c r="H1" s="115" t="s">
        <v>119</v>
      </c>
      <c r="I1" s="115" t="s">
        <v>17</v>
      </c>
      <c r="J1" s="117" t="s">
        <v>796</v>
      </c>
      <c r="K1" s="117" t="s">
        <v>797</v>
      </c>
    </row>
    <row r="2" spans="1:13" ht="89.25" x14ac:dyDescent="0.2">
      <c r="A2" s="119">
        <f>ROW()-1</f>
        <v>1</v>
      </c>
      <c r="B2" s="119" t="s">
        <v>794</v>
      </c>
      <c r="C2" s="119" t="s">
        <v>635</v>
      </c>
      <c r="D2" s="120" t="s">
        <v>795</v>
      </c>
      <c r="E2" s="121" t="s">
        <v>619</v>
      </c>
      <c r="F2" s="121">
        <v>2</v>
      </c>
      <c r="G2" s="137">
        <f>I2</f>
        <v>225000</v>
      </c>
      <c r="H2" s="137">
        <f>G2*F2</f>
        <v>450000</v>
      </c>
      <c r="I2" s="135">
        <v>225000</v>
      </c>
      <c r="J2" s="155">
        <v>245000</v>
      </c>
      <c r="K2" s="152">
        <v>219000</v>
      </c>
      <c r="L2" s="141"/>
    </row>
    <row r="3" spans="1:13" s="128" customFormat="1" x14ac:dyDescent="0.2">
      <c r="A3" s="119">
        <f t="shared" ref="A3:A5" si="0">ROW()-1</f>
        <v>2</v>
      </c>
      <c r="B3" s="349" t="s">
        <v>7</v>
      </c>
      <c r="C3" s="349"/>
      <c r="D3" s="349"/>
      <c r="E3" s="349"/>
      <c r="F3" s="349"/>
      <c r="G3" s="349"/>
      <c r="H3" s="138">
        <f>SUM(H2:H2)</f>
        <v>450000</v>
      </c>
      <c r="I3" s="127" t="s">
        <v>799</v>
      </c>
      <c r="J3" s="77"/>
    </row>
    <row r="4" spans="1:13" s="128" customFormat="1" x14ac:dyDescent="0.2">
      <c r="A4" s="119">
        <f t="shared" si="0"/>
        <v>3</v>
      </c>
      <c r="B4" s="349" t="s">
        <v>649</v>
      </c>
      <c r="C4" s="349"/>
      <c r="D4" s="349"/>
      <c r="E4" s="349"/>
      <c r="F4" s="349"/>
      <c r="G4" s="349"/>
      <c r="H4" s="138">
        <f>H3*18%</f>
        <v>81000</v>
      </c>
      <c r="I4" s="127"/>
      <c r="J4" s="77"/>
    </row>
    <row r="5" spans="1:13" s="128" customFormat="1" x14ac:dyDescent="0.2">
      <c r="A5" s="119">
        <f t="shared" si="0"/>
        <v>4</v>
      </c>
      <c r="B5" s="349" t="s">
        <v>8</v>
      </c>
      <c r="C5" s="349"/>
      <c r="D5" s="349"/>
      <c r="E5" s="349"/>
      <c r="F5" s="349"/>
      <c r="G5" s="349"/>
      <c r="H5" s="138">
        <f>H4+H3</f>
        <v>531000</v>
      </c>
      <c r="I5" s="127"/>
      <c r="J5" s="77"/>
    </row>
    <row r="6" spans="1:13" s="128" customFormat="1" ht="147.75" customHeight="1" x14ac:dyDescent="0.2">
      <c r="A6" s="129" t="s">
        <v>9</v>
      </c>
      <c r="B6" s="350" t="s">
        <v>631</v>
      </c>
      <c r="C6" s="350"/>
      <c r="D6" s="350"/>
      <c r="E6" s="350"/>
      <c r="F6" s="350"/>
      <c r="G6" s="350"/>
      <c r="H6" s="350"/>
      <c r="I6" s="127"/>
      <c r="J6" s="127"/>
      <c r="M6" s="130"/>
    </row>
  </sheetData>
  <mergeCells count="4">
    <mergeCell ref="B3:G3"/>
    <mergeCell ref="B4:G4"/>
    <mergeCell ref="B5:G5"/>
    <mergeCell ref="B6:H6"/>
  </mergeCells>
  <pageMargins left="0.23622047244094491" right="0.23622047244094491" top="0.74803149606299213" bottom="0.74803149606299213" header="0.31496062992125984" footer="0.31496062992125984"/>
  <pageSetup orientation="landscape" horizontalDpi="4294967292" r:id="rId1"/>
  <headerFooter>
    <oddHeader>&amp;LCONFIANCE INDIA&amp;CPR 2020017116 (TG Spare )&amp;R9 NOV 2023</oddHeader>
    <oddFooter>Page &amp;P of &amp;N</oddFooter>
  </headerFooter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E5BB9-739D-4DD1-B1CA-4B1D30E5F396}">
  <dimension ref="A1:M25"/>
  <sheetViews>
    <sheetView zoomScaleNormal="100" zoomScaleSheetLayoutView="100" workbookViewId="0">
      <selection activeCell="D4" sqref="D4"/>
    </sheetView>
  </sheetViews>
  <sheetFormatPr defaultColWidth="9.140625" defaultRowHeight="12.75" x14ac:dyDescent="0.2"/>
  <cols>
    <col min="1" max="1" width="5.85546875" style="116" bestFit="1" customWidth="1"/>
    <col min="2" max="2" width="15.28515625" style="116" bestFit="1" customWidth="1"/>
    <col min="3" max="3" width="14.7109375" style="116" customWidth="1"/>
    <col min="4" max="4" width="58.42578125" style="116" customWidth="1"/>
    <col min="5" max="5" width="5" style="116" bestFit="1" customWidth="1"/>
    <col min="6" max="6" width="8.7109375" style="116" customWidth="1"/>
    <col min="7" max="7" width="11.5703125" style="116" bestFit="1" customWidth="1"/>
    <col min="8" max="8" width="10.140625" style="116" bestFit="1" customWidth="1"/>
    <col min="9" max="9" width="22" style="127" bestFit="1" customWidth="1"/>
    <col min="10" max="10" width="17.140625" style="77" customWidth="1"/>
    <col min="11" max="11" width="17.85546875" style="128" bestFit="1" customWidth="1"/>
    <col min="12" max="12" width="16.5703125" style="116" bestFit="1" customWidth="1"/>
    <col min="13" max="13" width="14" style="116" bestFit="1" customWidth="1"/>
    <col min="14" max="15" width="12.42578125" style="116" bestFit="1" customWidth="1"/>
    <col min="16" max="16384" width="9.140625" style="116"/>
  </cols>
  <sheetData>
    <row r="1" spans="1:13" x14ac:dyDescent="0.2">
      <c r="A1" s="115" t="s">
        <v>0</v>
      </c>
      <c r="B1" s="115" t="s">
        <v>1</v>
      </c>
      <c r="C1" s="115" t="s">
        <v>5</v>
      </c>
      <c r="D1" s="115" t="s">
        <v>2</v>
      </c>
      <c r="E1" s="115" t="s">
        <v>3</v>
      </c>
      <c r="F1" s="115" t="s">
        <v>614</v>
      </c>
      <c r="G1" s="115" t="s">
        <v>615</v>
      </c>
      <c r="H1" s="115" t="s">
        <v>119</v>
      </c>
      <c r="I1" s="115" t="s">
        <v>17</v>
      </c>
      <c r="J1" s="117" t="s">
        <v>808</v>
      </c>
      <c r="K1" s="117"/>
    </row>
    <row r="2" spans="1:13" ht="89.25" x14ac:dyDescent="0.2">
      <c r="A2" s="119">
        <f>ROW()-1</f>
        <v>1</v>
      </c>
      <c r="B2" s="119">
        <v>100818</v>
      </c>
      <c r="C2" s="119" t="s">
        <v>635</v>
      </c>
      <c r="D2" s="120" t="s">
        <v>800</v>
      </c>
      <c r="E2" s="121" t="s">
        <v>619</v>
      </c>
      <c r="F2" s="121">
        <v>10</v>
      </c>
      <c r="G2" s="137">
        <f>90*1.3*I2</f>
        <v>0</v>
      </c>
      <c r="H2" s="137">
        <f>G2*F2</f>
        <v>0</v>
      </c>
      <c r="I2" s="135"/>
      <c r="J2" s="155">
        <v>125</v>
      </c>
      <c r="K2" s="152"/>
      <c r="L2" s="141"/>
    </row>
    <row r="3" spans="1:13" ht="102" x14ac:dyDescent="0.2">
      <c r="A3" s="119">
        <f t="shared" ref="A3:A6" si="0">ROW()-1</f>
        <v>2</v>
      </c>
      <c r="B3" s="119">
        <v>100818</v>
      </c>
      <c r="C3" s="119" t="s">
        <v>635</v>
      </c>
      <c r="D3" s="120" t="s">
        <v>801</v>
      </c>
      <c r="E3" s="121" t="s">
        <v>619</v>
      </c>
      <c r="F3" s="121">
        <v>20</v>
      </c>
      <c r="G3" s="137">
        <f t="shared" ref="G3:G6" si="1">90*1.3*I3</f>
        <v>0</v>
      </c>
      <c r="H3" s="137">
        <f t="shared" ref="H3:H6" si="2">G3*F3</f>
        <v>0</v>
      </c>
      <c r="I3" s="135"/>
      <c r="J3" s="155"/>
      <c r="K3" s="152"/>
      <c r="L3" s="141"/>
    </row>
    <row r="4" spans="1:13" ht="89.25" x14ac:dyDescent="0.2">
      <c r="A4" s="119">
        <f t="shared" si="0"/>
        <v>3</v>
      </c>
      <c r="B4" s="119">
        <v>100706</v>
      </c>
      <c r="C4" s="119" t="s">
        <v>635</v>
      </c>
      <c r="D4" s="120" t="s">
        <v>802</v>
      </c>
      <c r="E4" s="121" t="s">
        <v>619</v>
      </c>
      <c r="F4" s="121">
        <v>4</v>
      </c>
      <c r="G4" s="137">
        <f t="shared" si="1"/>
        <v>0</v>
      </c>
      <c r="H4" s="137">
        <f t="shared" si="2"/>
        <v>0</v>
      </c>
      <c r="I4" s="135"/>
      <c r="J4" s="155">
        <v>398</v>
      </c>
      <c r="K4" s="152"/>
      <c r="L4" s="141"/>
    </row>
    <row r="5" spans="1:13" ht="114.75" x14ac:dyDescent="0.2">
      <c r="A5" s="119">
        <f t="shared" si="0"/>
        <v>4</v>
      </c>
      <c r="B5" s="119">
        <v>100706</v>
      </c>
      <c r="C5" s="119" t="s">
        <v>635</v>
      </c>
      <c r="D5" s="120" t="s">
        <v>803</v>
      </c>
      <c r="E5" s="121" t="s">
        <v>619</v>
      </c>
      <c r="F5" s="121">
        <v>4</v>
      </c>
      <c r="G5" s="137">
        <f t="shared" si="1"/>
        <v>0</v>
      </c>
      <c r="H5" s="137">
        <f t="shared" si="2"/>
        <v>0</v>
      </c>
      <c r="I5" s="135"/>
      <c r="J5" s="155"/>
      <c r="K5" s="152"/>
      <c r="L5" s="141"/>
    </row>
    <row r="6" spans="1:13" ht="89.25" x14ac:dyDescent="0.2">
      <c r="A6" s="119">
        <f t="shared" si="0"/>
        <v>5</v>
      </c>
      <c r="B6" s="119">
        <v>100706</v>
      </c>
      <c r="C6" s="119" t="s">
        <v>635</v>
      </c>
      <c r="D6" s="120" t="s">
        <v>804</v>
      </c>
      <c r="E6" s="121" t="s">
        <v>619</v>
      </c>
      <c r="F6" s="121">
        <v>3</v>
      </c>
      <c r="G6" s="137">
        <f t="shared" si="1"/>
        <v>0</v>
      </c>
      <c r="H6" s="137">
        <f t="shared" si="2"/>
        <v>0</v>
      </c>
      <c r="I6" s="135"/>
      <c r="J6" s="155"/>
      <c r="K6" s="152"/>
      <c r="L6" s="141"/>
    </row>
    <row r="7" spans="1:13" s="128" customFormat="1" x14ac:dyDescent="0.2">
      <c r="A7" s="119">
        <f t="shared" ref="A7:A9" si="3">ROW()-1</f>
        <v>6</v>
      </c>
      <c r="B7" s="349" t="s">
        <v>7</v>
      </c>
      <c r="C7" s="349"/>
      <c r="D7" s="349"/>
      <c r="E7" s="349"/>
      <c r="F7" s="349"/>
      <c r="G7" s="349"/>
      <c r="H7" s="138">
        <f>SUM(H2:H2)</f>
        <v>0</v>
      </c>
      <c r="I7" s="127"/>
      <c r="J7" s="77"/>
    </row>
    <row r="8" spans="1:13" s="128" customFormat="1" x14ac:dyDescent="0.2">
      <c r="A8" s="119">
        <f t="shared" si="3"/>
        <v>7</v>
      </c>
      <c r="B8" s="349" t="s">
        <v>649</v>
      </c>
      <c r="C8" s="349"/>
      <c r="D8" s="349"/>
      <c r="E8" s="349"/>
      <c r="F8" s="349"/>
      <c r="G8" s="349"/>
      <c r="H8" s="138">
        <f>H7*18%</f>
        <v>0</v>
      </c>
      <c r="I8" s="127"/>
      <c r="J8" s="77"/>
    </row>
    <row r="9" spans="1:13" s="128" customFormat="1" x14ac:dyDescent="0.2">
      <c r="A9" s="119">
        <f t="shared" si="3"/>
        <v>8</v>
      </c>
      <c r="B9" s="349" t="s">
        <v>8</v>
      </c>
      <c r="C9" s="349"/>
      <c r="D9" s="349"/>
      <c r="E9" s="349"/>
      <c r="F9" s="349"/>
      <c r="G9" s="349"/>
      <c r="H9" s="138">
        <f>H8+H7</f>
        <v>0</v>
      </c>
      <c r="I9" s="127"/>
      <c r="J9" s="77"/>
    </row>
    <row r="10" spans="1:13" s="128" customFormat="1" ht="147.75" customHeight="1" x14ac:dyDescent="0.2">
      <c r="A10" s="129" t="s">
        <v>9</v>
      </c>
      <c r="B10" s="350" t="s">
        <v>631</v>
      </c>
      <c r="C10" s="350"/>
      <c r="D10" s="350"/>
      <c r="E10" s="350"/>
      <c r="F10" s="350"/>
      <c r="G10" s="350"/>
      <c r="H10" s="350"/>
      <c r="I10" s="127"/>
      <c r="J10" s="127"/>
      <c r="M10" s="130"/>
    </row>
    <row r="25" spans="4:4" x14ac:dyDescent="0.2">
      <c r="D25" s="166"/>
    </row>
  </sheetData>
  <mergeCells count="4">
    <mergeCell ref="B7:G7"/>
    <mergeCell ref="B8:G8"/>
    <mergeCell ref="B9:G9"/>
    <mergeCell ref="B10:H10"/>
  </mergeCells>
  <pageMargins left="0.23622047244094491" right="0.23622047244094491" top="0.74803149606299213" bottom="0.74803149606299213" header="0.31496062992125984" footer="0.31496062992125984"/>
  <pageSetup orientation="landscape" horizontalDpi="4294967292" r:id="rId1"/>
  <headerFooter>
    <oddHeader>&amp;LCONFIANCE INDIA&amp;CPR 2020017116 (TG Spare )&amp;R9 NOV 2023</oddHeader>
    <oddFooter>Page &amp;P of &amp;N</oddFooter>
  </headerFooter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A886C-152D-448F-89D0-05921D5D7AB6}">
  <dimension ref="A1:M21"/>
  <sheetViews>
    <sheetView zoomScaleNormal="100" zoomScaleSheetLayoutView="100" workbookViewId="0">
      <selection activeCell="B4" sqref="B4"/>
    </sheetView>
  </sheetViews>
  <sheetFormatPr defaultColWidth="9.140625" defaultRowHeight="12.75" x14ac:dyDescent="0.2"/>
  <cols>
    <col min="1" max="1" width="5.85546875" style="116" bestFit="1" customWidth="1"/>
    <col min="2" max="2" width="10.5703125" style="116" customWidth="1"/>
    <col min="3" max="3" width="16" style="116" customWidth="1"/>
    <col min="4" max="4" width="54.85546875" style="116" customWidth="1"/>
    <col min="5" max="5" width="9.140625" style="116" customWidth="1"/>
    <col min="6" max="6" width="10.7109375" style="116" customWidth="1"/>
    <col min="7" max="7" width="13" style="116" customWidth="1"/>
    <col min="8" max="8" width="10.7109375" style="116" customWidth="1"/>
    <col min="9" max="9" width="22" style="127" bestFit="1" customWidth="1"/>
    <col min="10" max="10" width="20.42578125" style="77" customWidth="1"/>
    <col min="11" max="11" width="18.5703125" style="128" customWidth="1"/>
    <col min="12" max="12" width="16.5703125" style="116" bestFit="1" customWidth="1"/>
    <col min="13" max="13" width="14" style="116" bestFit="1" customWidth="1"/>
    <col min="14" max="15" width="12.42578125" style="116" bestFit="1" customWidth="1"/>
    <col min="16" max="16384" width="9.140625" style="116"/>
  </cols>
  <sheetData>
    <row r="1" spans="1:13" x14ac:dyDescent="0.2">
      <c r="A1" s="115" t="s">
        <v>0</v>
      </c>
      <c r="B1" s="115" t="s">
        <v>1</v>
      </c>
      <c r="C1" s="115" t="s">
        <v>5</v>
      </c>
      <c r="D1" s="115" t="s">
        <v>2</v>
      </c>
      <c r="E1" s="115" t="s">
        <v>3</v>
      </c>
      <c r="F1" s="115" t="s">
        <v>614</v>
      </c>
      <c r="G1" s="115" t="s">
        <v>615</v>
      </c>
      <c r="H1" s="115" t="s">
        <v>119</v>
      </c>
      <c r="I1" s="115" t="s">
        <v>17</v>
      </c>
      <c r="J1" s="117" t="s">
        <v>815</v>
      </c>
      <c r="K1" s="42" t="s">
        <v>268</v>
      </c>
    </row>
    <row r="2" spans="1:13" ht="38.25" x14ac:dyDescent="0.2">
      <c r="A2" s="167">
        <v>1</v>
      </c>
      <c r="B2" s="167">
        <v>50042</v>
      </c>
      <c r="C2" s="167" t="s">
        <v>635</v>
      </c>
      <c r="D2" s="120" t="s">
        <v>807</v>
      </c>
      <c r="E2" s="167" t="s">
        <v>619</v>
      </c>
      <c r="F2" s="167">
        <v>2</v>
      </c>
      <c r="G2" s="137">
        <f>I2</f>
        <v>132250</v>
      </c>
      <c r="H2" s="137">
        <f>G2*F2</f>
        <v>264500</v>
      </c>
      <c r="I2" s="172">
        <f>J2*1.15</f>
        <v>132250</v>
      </c>
      <c r="J2" s="139">
        <v>115000</v>
      </c>
      <c r="K2" s="117"/>
    </row>
    <row r="3" spans="1:13" ht="63.75" x14ac:dyDescent="0.2">
      <c r="A3" s="119">
        <f>ROW()-1</f>
        <v>2</v>
      </c>
      <c r="B3" s="119">
        <v>100044</v>
      </c>
      <c r="C3" s="119" t="s">
        <v>635</v>
      </c>
      <c r="D3" s="120" t="s">
        <v>805</v>
      </c>
      <c r="E3" s="121" t="s">
        <v>619</v>
      </c>
      <c r="F3" s="121">
        <v>2</v>
      </c>
      <c r="G3" s="137">
        <f>95*1.33*I3</f>
        <v>59384.500000000007</v>
      </c>
      <c r="H3" s="137">
        <f>G3*F3</f>
        <v>118769.00000000001</v>
      </c>
      <c r="I3" s="173">
        <v>470</v>
      </c>
      <c r="J3" s="155"/>
      <c r="K3" s="94">
        <v>351</v>
      </c>
      <c r="L3" s="174" t="s">
        <v>829</v>
      </c>
    </row>
    <row r="4" spans="1:13" ht="63.75" x14ac:dyDescent="0.2">
      <c r="A4" s="119">
        <f t="shared" ref="A4:A7" si="0">ROW()-1</f>
        <v>3</v>
      </c>
      <c r="B4" s="119">
        <v>100044</v>
      </c>
      <c r="C4" s="119" t="s">
        <v>635</v>
      </c>
      <c r="D4" s="120" t="s">
        <v>806</v>
      </c>
      <c r="E4" s="121" t="s">
        <v>619</v>
      </c>
      <c r="F4" s="121">
        <v>2</v>
      </c>
      <c r="G4" s="137">
        <f>I4</f>
        <v>30000</v>
      </c>
      <c r="H4" s="137">
        <f t="shared" ref="H4" si="1">G4*F4</f>
        <v>60000</v>
      </c>
      <c r="I4" s="172">
        <f>J4*1.2</f>
        <v>30000</v>
      </c>
      <c r="J4" s="155">
        <v>25000</v>
      </c>
      <c r="K4" s="152"/>
      <c r="L4" s="141"/>
    </row>
    <row r="5" spans="1:13" s="128" customFormat="1" x14ac:dyDescent="0.2">
      <c r="A5" s="119">
        <f t="shared" si="0"/>
        <v>4</v>
      </c>
      <c r="B5" s="349" t="s">
        <v>7</v>
      </c>
      <c r="C5" s="349"/>
      <c r="D5" s="349"/>
      <c r="E5" s="349"/>
      <c r="F5" s="349"/>
      <c r="G5" s="349"/>
      <c r="H5" s="138">
        <f>SUM(H2:H4)</f>
        <v>443269</v>
      </c>
      <c r="I5" s="127"/>
      <c r="J5" s="77"/>
    </row>
    <row r="6" spans="1:13" s="128" customFormat="1" x14ac:dyDescent="0.2">
      <c r="A6" s="119">
        <f t="shared" si="0"/>
        <v>5</v>
      </c>
      <c r="B6" s="349" t="s">
        <v>649</v>
      </c>
      <c r="C6" s="349"/>
      <c r="D6" s="349"/>
      <c r="E6" s="349"/>
      <c r="F6" s="349"/>
      <c r="G6" s="349"/>
      <c r="H6" s="138">
        <f>H5*18%</f>
        <v>79788.42</v>
      </c>
      <c r="I6" s="127"/>
      <c r="J6" s="77"/>
    </row>
    <row r="7" spans="1:13" s="128" customFormat="1" x14ac:dyDescent="0.2">
      <c r="A7" s="119">
        <f t="shared" si="0"/>
        <v>6</v>
      </c>
      <c r="B7" s="349" t="s">
        <v>8</v>
      </c>
      <c r="C7" s="349"/>
      <c r="D7" s="349"/>
      <c r="E7" s="349"/>
      <c r="F7" s="349"/>
      <c r="G7" s="349"/>
      <c r="H7" s="138">
        <f>H6+H5</f>
        <v>523057.42</v>
      </c>
      <c r="I7" s="127"/>
      <c r="J7" s="77"/>
    </row>
    <row r="8" spans="1:13" s="128" customFormat="1" ht="147.75" customHeight="1" x14ac:dyDescent="0.2">
      <c r="A8" s="129" t="s">
        <v>9</v>
      </c>
      <c r="B8" s="350" t="s">
        <v>631</v>
      </c>
      <c r="C8" s="350"/>
      <c r="D8" s="350"/>
      <c r="E8" s="350"/>
      <c r="F8" s="350"/>
      <c r="G8" s="350"/>
      <c r="H8" s="350"/>
      <c r="I8" s="127"/>
      <c r="J8" s="127"/>
      <c r="M8" s="130"/>
    </row>
    <row r="21" spans="4:4" x14ac:dyDescent="0.2">
      <c r="D21" s="166"/>
    </row>
  </sheetData>
  <mergeCells count="4">
    <mergeCell ref="B5:G5"/>
    <mergeCell ref="B6:G6"/>
    <mergeCell ref="B7:G7"/>
    <mergeCell ref="B8:H8"/>
  </mergeCells>
  <pageMargins left="0.23622047244094491" right="0.23622047244094491" top="0.74803149606299213" bottom="0.74803149606299213" header="0.31496062992125984" footer="0.31496062992125984"/>
  <pageSetup orientation="landscape" horizontalDpi="4294967292" r:id="rId1"/>
  <headerFooter>
    <oddHeader>&amp;LCONFIANCE INDIA&amp;CPR 2020017116 (TG Spare )&amp;R9 NOV 2023</oddHeader>
    <oddFooter>Page &amp;P of &amp;N</oddFooter>
  </headerFooter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251BE-BADB-4F79-90A3-B51B4E168DCC}">
  <dimension ref="A1:M24"/>
  <sheetViews>
    <sheetView zoomScale="90" zoomScaleNormal="90" zoomScaleSheetLayoutView="100" workbookViewId="0">
      <selection sqref="A1:H9"/>
    </sheetView>
  </sheetViews>
  <sheetFormatPr defaultColWidth="9.140625" defaultRowHeight="12.75" x14ac:dyDescent="0.2"/>
  <cols>
    <col min="1" max="1" width="5.85546875" style="116" bestFit="1" customWidth="1"/>
    <col min="2" max="2" width="17.28515625" style="116" bestFit="1" customWidth="1"/>
    <col min="3" max="3" width="14.7109375" style="116" customWidth="1"/>
    <col min="4" max="4" width="63.140625" style="116" customWidth="1"/>
    <col min="5" max="5" width="5" style="116" bestFit="1" customWidth="1"/>
    <col min="6" max="6" width="8.7109375" style="116" customWidth="1"/>
    <col min="7" max="7" width="15.5703125" style="116" customWidth="1"/>
    <col min="8" max="8" width="17.42578125" style="116" customWidth="1"/>
    <col min="9" max="9" width="22" style="127" bestFit="1" customWidth="1"/>
    <col min="10" max="10" width="17.140625" style="77" customWidth="1"/>
    <col min="11" max="11" width="17.85546875" style="128" bestFit="1" customWidth="1"/>
    <col min="12" max="12" width="16.5703125" style="116" bestFit="1" customWidth="1"/>
    <col min="13" max="13" width="14" style="116" bestFit="1" customWidth="1"/>
    <col min="14" max="15" width="12.42578125" style="116" bestFit="1" customWidth="1"/>
    <col min="16" max="16384" width="9.140625" style="116"/>
  </cols>
  <sheetData>
    <row r="1" spans="1:13" x14ac:dyDescent="0.2">
      <c r="A1" s="115" t="s">
        <v>0</v>
      </c>
      <c r="B1" s="115" t="s">
        <v>1</v>
      </c>
      <c r="C1" s="115" t="s">
        <v>5</v>
      </c>
      <c r="D1" s="115" t="s">
        <v>2</v>
      </c>
      <c r="E1" s="115" t="s">
        <v>3</v>
      </c>
      <c r="F1" s="115" t="s">
        <v>614</v>
      </c>
      <c r="G1" s="115" t="s">
        <v>615</v>
      </c>
      <c r="H1" s="115" t="s">
        <v>119</v>
      </c>
      <c r="I1" s="115" t="s">
        <v>17</v>
      </c>
      <c r="J1" s="170" t="s">
        <v>10</v>
      </c>
      <c r="K1" s="170" t="s">
        <v>808</v>
      </c>
      <c r="L1" s="116" t="s">
        <v>110</v>
      </c>
      <c r="M1" s="116" t="s">
        <v>825</v>
      </c>
    </row>
    <row r="2" spans="1:13" ht="127.5" x14ac:dyDescent="0.2">
      <c r="A2" s="167">
        <v>1</v>
      </c>
      <c r="B2" s="167" t="s">
        <v>810</v>
      </c>
      <c r="C2" s="167">
        <v>5001000002</v>
      </c>
      <c r="D2" s="120" t="s">
        <v>811</v>
      </c>
      <c r="E2" s="167" t="s">
        <v>619</v>
      </c>
      <c r="F2" s="167">
        <v>1</v>
      </c>
      <c r="G2" s="137">
        <f>93*1.33*I2</f>
        <v>4551792</v>
      </c>
      <c r="H2" s="137">
        <f>G2*F2</f>
        <v>4551792</v>
      </c>
      <c r="I2" s="133">
        <v>36800</v>
      </c>
      <c r="J2" s="168">
        <v>40000</v>
      </c>
      <c r="K2" s="133">
        <v>36800</v>
      </c>
      <c r="M2" s="171" t="s">
        <v>826</v>
      </c>
    </row>
    <row r="3" spans="1:13" ht="127.5" x14ac:dyDescent="0.2">
      <c r="A3" s="119">
        <f>ROW()-1</f>
        <v>2</v>
      </c>
      <c r="B3" s="167" t="s">
        <v>810</v>
      </c>
      <c r="C3" s="119">
        <v>5001000003</v>
      </c>
      <c r="D3" s="120" t="s">
        <v>812</v>
      </c>
      <c r="E3" s="167" t="s">
        <v>619</v>
      </c>
      <c r="F3" s="167">
        <v>1</v>
      </c>
      <c r="G3" s="137">
        <f t="shared" ref="G3:G5" si="0">93*1.33*I3</f>
        <v>4174537.5000000005</v>
      </c>
      <c r="H3" s="137">
        <f t="shared" ref="H3:H5" si="1">G3*F3</f>
        <v>4174537.5000000005</v>
      </c>
      <c r="I3" s="141">
        <v>33750</v>
      </c>
      <c r="J3" s="136">
        <v>37000</v>
      </c>
      <c r="K3" s="141">
        <v>33750</v>
      </c>
      <c r="L3" s="141"/>
      <c r="M3" s="171" t="s">
        <v>827</v>
      </c>
    </row>
    <row r="4" spans="1:13" ht="127.5" x14ac:dyDescent="0.2">
      <c r="A4" s="119">
        <f t="shared" ref="A4:A8" si="2">ROW()-1</f>
        <v>3</v>
      </c>
      <c r="B4" s="167" t="s">
        <v>810</v>
      </c>
      <c r="C4" s="119">
        <v>5001000004</v>
      </c>
      <c r="D4" s="120" t="s">
        <v>813</v>
      </c>
      <c r="E4" s="167" t="s">
        <v>619</v>
      </c>
      <c r="F4" s="167">
        <v>1</v>
      </c>
      <c r="G4" s="137">
        <f t="shared" si="0"/>
        <v>7606935.0000000009</v>
      </c>
      <c r="H4" s="137">
        <f t="shared" si="1"/>
        <v>7606935.0000000009</v>
      </c>
      <c r="I4" s="141">
        <v>61500</v>
      </c>
      <c r="J4" s="136">
        <v>66000</v>
      </c>
      <c r="K4" s="141">
        <v>61500</v>
      </c>
      <c r="L4" s="141"/>
      <c r="M4" s="171" t="s">
        <v>828</v>
      </c>
    </row>
    <row r="5" spans="1:13" ht="114.75" x14ac:dyDescent="0.2">
      <c r="A5" s="119">
        <f t="shared" si="2"/>
        <v>4</v>
      </c>
      <c r="B5" s="167" t="s">
        <v>810</v>
      </c>
      <c r="C5" s="119">
        <v>5001000005</v>
      </c>
      <c r="D5" s="120" t="s">
        <v>814</v>
      </c>
      <c r="E5" s="167" t="s">
        <v>619</v>
      </c>
      <c r="F5" s="167">
        <v>1</v>
      </c>
      <c r="G5" s="137">
        <f t="shared" si="0"/>
        <v>5194980.0000000009</v>
      </c>
      <c r="H5" s="137">
        <f t="shared" si="1"/>
        <v>5194980.0000000009</v>
      </c>
      <c r="I5" s="133">
        <v>42000</v>
      </c>
      <c r="J5" s="155"/>
      <c r="K5" s="169" t="s">
        <v>817</v>
      </c>
      <c r="L5" s="141">
        <v>42000</v>
      </c>
    </row>
    <row r="6" spans="1:13" s="128" customFormat="1" x14ac:dyDescent="0.2">
      <c r="A6" s="119">
        <f t="shared" si="2"/>
        <v>5</v>
      </c>
      <c r="B6" s="349" t="s">
        <v>7</v>
      </c>
      <c r="C6" s="349"/>
      <c r="D6" s="349"/>
      <c r="E6" s="349"/>
      <c r="F6" s="349"/>
      <c r="G6" s="349"/>
      <c r="H6" s="138">
        <f>SUM(H2:H5)</f>
        <v>21528244.5</v>
      </c>
      <c r="I6" s="127"/>
      <c r="J6" s="77"/>
    </row>
    <row r="7" spans="1:13" s="128" customFormat="1" x14ac:dyDescent="0.2">
      <c r="A7" s="119">
        <f t="shared" si="2"/>
        <v>6</v>
      </c>
      <c r="B7" s="349" t="s">
        <v>649</v>
      </c>
      <c r="C7" s="349"/>
      <c r="D7" s="349"/>
      <c r="E7" s="349"/>
      <c r="F7" s="349"/>
      <c r="G7" s="349"/>
      <c r="H7" s="138">
        <f>H6*18%</f>
        <v>3875084.01</v>
      </c>
      <c r="I7" s="127"/>
      <c r="J7" s="77"/>
    </row>
    <row r="8" spans="1:13" s="128" customFormat="1" x14ac:dyDescent="0.2">
      <c r="A8" s="119">
        <f t="shared" si="2"/>
        <v>7</v>
      </c>
      <c r="B8" s="349" t="s">
        <v>8</v>
      </c>
      <c r="C8" s="349"/>
      <c r="D8" s="349"/>
      <c r="E8" s="349"/>
      <c r="F8" s="349"/>
      <c r="G8" s="349"/>
      <c r="H8" s="138">
        <f>H7+H6</f>
        <v>25403328.509999998</v>
      </c>
      <c r="I8" s="127"/>
      <c r="J8" s="77"/>
    </row>
    <row r="9" spans="1:13" s="128" customFormat="1" ht="147.75" customHeight="1" x14ac:dyDescent="0.2">
      <c r="A9" s="129" t="s">
        <v>9</v>
      </c>
      <c r="B9" s="350" t="s">
        <v>631</v>
      </c>
      <c r="C9" s="350"/>
      <c r="D9" s="350"/>
      <c r="E9" s="350"/>
      <c r="F9" s="350"/>
      <c r="G9" s="350"/>
      <c r="H9" s="350"/>
      <c r="I9" s="127"/>
      <c r="J9" s="127"/>
      <c r="M9" s="130"/>
    </row>
    <row r="13" spans="1:13" x14ac:dyDescent="0.2">
      <c r="D13" s="116" t="s">
        <v>809</v>
      </c>
    </row>
    <row r="24" spans="4:4" x14ac:dyDescent="0.2">
      <c r="D24" s="166"/>
    </row>
  </sheetData>
  <mergeCells count="4">
    <mergeCell ref="B6:G6"/>
    <mergeCell ref="B7:G7"/>
    <mergeCell ref="B8:G8"/>
    <mergeCell ref="B9:H9"/>
  </mergeCells>
  <pageMargins left="0.23622047244094491" right="0.23622047244094491" top="0.74803149606299213" bottom="0.74803149606299213" header="0.31496062992125984" footer="0.31496062992125984"/>
  <pageSetup orientation="landscape" horizontalDpi="4294967292" r:id="rId1"/>
  <headerFooter>
    <oddHeader>&amp;LCONFIANCE INDIA&amp;CPR 2020017116 (TG Spare )&amp;R9 NOV 2023</oddHeader>
    <oddFooter>Page &amp;P of &amp;N</oddFooter>
  </headerFooter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41719-0434-4951-95B8-0FEC412FFC79}">
  <dimension ref="A1:M27"/>
  <sheetViews>
    <sheetView zoomScaleNormal="100" zoomScaleSheetLayoutView="100" workbookViewId="0">
      <selection activeCell="K2" sqref="K2:K8"/>
    </sheetView>
  </sheetViews>
  <sheetFormatPr defaultColWidth="9.140625" defaultRowHeight="12.75" x14ac:dyDescent="0.2"/>
  <cols>
    <col min="1" max="1" width="5.85546875" style="116" bestFit="1" customWidth="1"/>
    <col min="2" max="2" width="15.28515625" style="116" bestFit="1" customWidth="1"/>
    <col min="3" max="3" width="9.140625" style="116" bestFit="1" customWidth="1"/>
    <col min="4" max="4" width="58.42578125" style="116" customWidth="1"/>
    <col min="5" max="5" width="5" style="116" bestFit="1" customWidth="1"/>
    <col min="6" max="6" width="8.7109375" style="116" customWidth="1"/>
    <col min="7" max="7" width="11.5703125" style="116" bestFit="1" customWidth="1"/>
    <col min="8" max="8" width="11.140625" style="116" bestFit="1" customWidth="1"/>
    <col min="9" max="9" width="22" style="127" bestFit="1" customWidth="1"/>
    <col min="10" max="10" width="17.140625" style="77" customWidth="1"/>
    <col min="11" max="11" width="17.85546875" style="128" bestFit="1" customWidth="1"/>
    <col min="12" max="12" width="16.5703125" style="116" bestFit="1" customWidth="1"/>
    <col min="13" max="13" width="14" style="116" bestFit="1" customWidth="1"/>
    <col min="14" max="15" width="12.42578125" style="116" bestFit="1" customWidth="1"/>
    <col min="16" max="16384" width="9.140625" style="116"/>
  </cols>
  <sheetData>
    <row r="1" spans="1:13" x14ac:dyDescent="0.2">
      <c r="A1" s="115" t="s">
        <v>0</v>
      </c>
      <c r="B1" s="115" t="s">
        <v>1</v>
      </c>
      <c r="C1" s="115" t="s">
        <v>5</v>
      </c>
      <c r="D1" s="115" t="s">
        <v>2</v>
      </c>
      <c r="E1" s="115" t="s">
        <v>3</v>
      </c>
      <c r="F1" s="115" t="s">
        <v>614</v>
      </c>
      <c r="G1" s="115" t="s">
        <v>615</v>
      </c>
      <c r="H1" s="115" t="s">
        <v>119</v>
      </c>
      <c r="I1" s="115" t="s">
        <v>17</v>
      </c>
      <c r="J1" s="117" t="s">
        <v>110</v>
      </c>
      <c r="K1" s="117" t="s">
        <v>808</v>
      </c>
    </row>
    <row r="2" spans="1:13" ht="51" x14ac:dyDescent="0.2">
      <c r="A2" s="167">
        <v>1</v>
      </c>
      <c r="B2" s="167">
        <v>100043</v>
      </c>
      <c r="C2" s="167" t="s">
        <v>635</v>
      </c>
      <c r="D2" s="120" t="s">
        <v>818</v>
      </c>
      <c r="E2" s="167"/>
      <c r="F2" s="167">
        <v>7</v>
      </c>
      <c r="G2" s="137">
        <f>95*1.45*I2</f>
        <v>81823.5</v>
      </c>
      <c r="H2" s="137">
        <f t="shared" ref="H2:H8" si="0">G2*F2</f>
        <v>572764.5</v>
      </c>
      <c r="I2" s="133">
        <v>594</v>
      </c>
      <c r="J2" s="133">
        <v>594</v>
      </c>
      <c r="K2" s="133">
        <v>460</v>
      </c>
    </row>
    <row r="3" spans="1:13" ht="51" x14ac:dyDescent="0.2">
      <c r="A3" s="119">
        <f>ROW()-1</f>
        <v>2</v>
      </c>
      <c r="B3" s="167">
        <v>100043</v>
      </c>
      <c r="C3" s="167" t="s">
        <v>635</v>
      </c>
      <c r="D3" s="120" t="s">
        <v>819</v>
      </c>
      <c r="E3" s="121"/>
      <c r="F3" s="121">
        <v>8</v>
      </c>
      <c r="G3" s="137">
        <f t="shared" ref="G3:G8" si="1">95*1.45*I3</f>
        <v>53998</v>
      </c>
      <c r="H3" s="137">
        <f t="shared" si="0"/>
        <v>431984</v>
      </c>
      <c r="I3" s="135">
        <v>392</v>
      </c>
      <c r="J3" s="135">
        <v>392</v>
      </c>
      <c r="K3" s="133">
        <v>460</v>
      </c>
      <c r="L3" s="141"/>
    </row>
    <row r="4" spans="1:13" ht="63.75" x14ac:dyDescent="0.2">
      <c r="A4" s="119">
        <f t="shared" ref="A4:A11" si="2">ROW()-1</f>
        <v>3</v>
      </c>
      <c r="B4" s="167">
        <v>100043</v>
      </c>
      <c r="C4" s="167" t="s">
        <v>635</v>
      </c>
      <c r="D4" s="120" t="s">
        <v>824</v>
      </c>
      <c r="E4" s="121"/>
      <c r="F4" s="121">
        <v>2</v>
      </c>
      <c r="G4" s="137">
        <f t="shared" si="1"/>
        <v>270403.25</v>
      </c>
      <c r="H4" s="137">
        <f t="shared" si="0"/>
        <v>540806.5</v>
      </c>
      <c r="I4" s="135">
        <v>1963</v>
      </c>
      <c r="J4" s="135">
        <v>1963</v>
      </c>
      <c r="K4" s="141">
        <v>1750</v>
      </c>
      <c r="L4" s="141"/>
    </row>
    <row r="5" spans="1:13" ht="51" x14ac:dyDescent="0.2">
      <c r="A5" s="119">
        <f t="shared" si="2"/>
        <v>4</v>
      </c>
      <c r="B5" s="167">
        <v>100043</v>
      </c>
      <c r="C5" s="167" t="s">
        <v>635</v>
      </c>
      <c r="D5" s="120" t="s">
        <v>820</v>
      </c>
      <c r="E5" s="121"/>
      <c r="F5" s="121">
        <v>2</v>
      </c>
      <c r="G5" s="137">
        <f t="shared" si="1"/>
        <v>137750</v>
      </c>
      <c r="H5" s="137">
        <f t="shared" si="0"/>
        <v>275500</v>
      </c>
      <c r="I5" s="135">
        <v>1000</v>
      </c>
      <c r="J5" s="135">
        <v>1000</v>
      </c>
      <c r="K5" s="141">
        <v>698</v>
      </c>
      <c r="L5" s="141"/>
    </row>
    <row r="6" spans="1:13" ht="63.75" x14ac:dyDescent="0.2">
      <c r="A6" s="119">
        <f t="shared" si="2"/>
        <v>5</v>
      </c>
      <c r="B6" s="167">
        <v>100043</v>
      </c>
      <c r="C6" s="167" t="s">
        <v>635</v>
      </c>
      <c r="D6" s="120" t="s">
        <v>821</v>
      </c>
      <c r="E6" s="121"/>
      <c r="F6" s="121">
        <v>2</v>
      </c>
      <c r="G6" s="137">
        <f t="shared" si="1"/>
        <v>169294.75</v>
      </c>
      <c r="H6" s="137">
        <f t="shared" si="0"/>
        <v>338589.5</v>
      </c>
      <c r="I6" s="135">
        <v>1229</v>
      </c>
      <c r="J6" s="135">
        <v>1229</v>
      </c>
      <c r="K6" s="141">
        <v>950</v>
      </c>
      <c r="L6" s="141"/>
    </row>
    <row r="7" spans="1:13" ht="76.5" x14ac:dyDescent="0.2">
      <c r="A7" s="119">
        <f t="shared" si="2"/>
        <v>6</v>
      </c>
      <c r="B7" s="167">
        <v>100043</v>
      </c>
      <c r="C7" s="167" t="s">
        <v>635</v>
      </c>
      <c r="D7" s="120" t="s">
        <v>822</v>
      </c>
      <c r="E7" s="121"/>
      <c r="F7" s="121">
        <v>2</v>
      </c>
      <c r="G7" s="137">
        <f>95*1.45*I7</f>
        <v>83063.25</v>
      </c>
      <c r="H7" s="137">
        <f t="shared" si="0"/>
        <v>166126.5</v>
      </c>
      <c r="I7" s="135">
        <v>603</v>
      </c>
      <c r="J7" s="135">
        <v>603</v>
      </c>
      <c r="K7" s="141">
        <v>480</v>
      </c>
      <c r="L7" s="141"/>
    </row>
    <row r="8" spans="1:13" ht="38.25" x14ac:dyDescent="0.2">
      <c r="A8" s="119">
        <f t="shared" si="2"/>
        <v>7</v>
      </c>
      <c r="B8" s="167">
        <v>100043</v>
      </c>
      <c r="C8" s="167" t="s">
        <v>635</v>
      </c>
      <c r="D8" s="120" t="s">
        <v>823</v>
      </c>
      <c r="E8" s="121"/>
      <c r="F8" s="121">
        <v>2</v>
      </c>
      <c r="G8" s="137">
        <f t="shared" si="1"/>
        <v>61023.25</v>
      </c>
      <c r="H8" s="137">
        <f t="shared" si="0"/>
        <v>122046.5</v>
      </c>
      <c r="I8" s="135">
        <v>443</v>
      </c>
      <c r="J8" s="135">
        <v>443</v>
      </c>
      <c r="K8" s="141">
        <v>370</v>
      </c>
      <c r="L8" s="141"/>
    </row>
    <row r="9" spans="1:13" s="128" customFormat="1" x14ac:dyDescent="0.2">
      <c r="A9" s="119">
        <f t="shared" si="2"/>
        <v>8</v>
      </c>
      <c r="B9" s="349" t="s">
        <v>7</v>
      </c>
      <c r="C9" s="349"/>
      <c r="D9" s="349"/>
      <c r="E9" s="349"/>
      <c r="F9" s="349"/>
      <c r="G9" s="349"/>
      <c r="H9" s="138">
        <f>SUM(H2:H8)</f>
        <v>2447817.5</v>
      </c>
      <c r="I9" s="127"/>
      <c r="J9" s="77"/>
    </row>
    <row r="10" spans="1:13" s="128" customFormat="1" x14ac:dyDescent="0.2">
      <c r="A10" s="119">
        <f t="shared" si="2"/>
        <v>9</v>
      </c>
      <c r="B10" s="349" t="s">
        <v>649</v>
      </c>
      <c r="C10" s="349"/>
      <c r="D10" s="349"/>
      <c r="E10" s="349"/>
      <c r="F10" s="349"/>
      <c r="G10" s="349"/>
      <c r="H10" s="138">
        <f>H9*18%</f>
        <v>440607.14999999997</v>
      </c>
      <c r="I10" s="127"/>
      <c r="J10" s="77"/>
    </row>
    <row r="11" spans="1:13" s="128" customFormat="1" x14ac:dyDescent="0.2">
      <c r="A11" s="119">
        <f t="shared" si="2"/>
        <v>10</v>
      </c>
      <c r="B11" s="349" t="s">
        <v>8</v>
      </c>
      <c r="C11" s="349"/>
      <c r="D11" s="349"/>
      <c r="E11" s="349"/>
      <c r="F11" s="349"/>
      <c r="G11" s="349"/>
      <c r="H11" s="138">
        <f>H10+H9</f>
        <v>2888424.65</v>
      </c>
      <c r="I11" s="127"/>
      <c r="J11" s="77"/>
    </row>
    <row r="12" spans="1:13" s="128" customFormat="1" ht="147.75" customHeight="1" x14ac:dyDescent="0.2">
      <c r="A12" s="129" t="s">
        <v>9</v>
      </c>
      <c r="B12" s="350" t="s">
        <v>631</v>
      </c>
      <c r="C12" s="350"/>
      <c r="D12" s="350"/>
      <c r="E12" s="350"/>
      <c r="F12" s="350"/>
      <c r="G12" s="350"/>
      <c r="H12" s="350"/>
      <c r="I12" s="127"/>
      <c r="J12" s="127"/>
      <c r="M12" s="130"/>
    </row>
    <row r="27" spans="4:4" x14ac:dyDescent="0.2">
      <c r="D27" s="166"/>
    </row>
  </sheetData>
  <mergeCells count="4">
    <mergeCell ref="B9:G9"/>
    <mergeCell ref="B10:G10"/>
    <mergeCell ref="B11:G11"/>
    <mergeCell ref="B12:H12"/>
  </mergeCells>
  <pageMargins left="0.23622047244094491" right="0.23622047244094491" top="0.74803149606299213" bottom="0.74803149606299213" header="0.31496062992125984" footer="0.31496062992125984"/>
  <pageSetup orientation="landscape" horizontalDpi="4294967292" r:id="rId1"/>
  <headerFooter>
    <oddHeader>&amp;LCONFIANCE INDIA&amp;CPR 2020017116 (TG Spare )&amp;R9 NOV 2023</oddHeader>
    <oddFooter>Page &amp;P of &amp;N</oddFooter>
  </headerFooter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76F83-5013-4840-AD12-B30375A36EFD}">
  <dimension ref="A1:N10"/>
  <sheetViews>
    <sheetView zoomScaleNormal="100" zoomScaleSheetLayoutView="100" workbookViewId="0">
      <selection sqref="A1:I10"/>
    </sheetView>
  </sheetViews>
  <sheetFormatPr defaultColWidth="9.140625" defaultRowHeight="12.75" x14ac:dyDescent="0.2"/>
  <cols>
    <col min="1" max="1" width="5.85546875" style="116" bestFit="1" customWidth="1"/>
    <col min="2" max="2" width="14" style="116" bestFit="1" customWidth="1"/>
    <col min="3" max="3" width="17.5703125" style="116" bestFit="1" customWidth="1"/>
    <col min="4" max="4" width="9.140625" style="116" bestFit="1" customWidth="1"/>
    <col min="5" max="5" width="58.42578125" style="116" customWidth="1"/>
    <col min="6" max="6" width="5" style="116" bestFit="1" customWidth="1"/>
    <col min="7" max="7" width="8.7109375" style="116" customWidth="1"/>
    <col min="8" max="8" width="11.5703125" style="116" bestFit="1" customWidth="1"/>
    <col min="9" max="9" width="10.140625" style="116" bestFit="1" customWidth="1"/>
    <col min="10" max="10" width="22" style="127" bestFit="1" customWidth="1"/>
    <col min="11" max="11" width="17.140625" style="77" customWidth="1"/>
    <col min="12" max="12" width="17.85546875" style="128" bestFit="1" customWidth="1"/>
    <col min="13" max="13" width="16.5703125" style="116" bestFit="1" customWidth="1"/>
    <col min="14" max="14" width="14" style="116" bestFit="1" customWidth="1"/>
    <col min="15" max="16" width="12.42578125" style="116" bestFit="1" customWidth="1"/>
    <col min="17" max="16384" width="9.140625" style="116"/>
  </cols>
  <sheetData>
    <row r="1" spans="1:14" x14ac:dyDescent="0.2">
      <c r="A1" s="115" t="s">
        <v>0</v>
      </c>
      <c r="B1" s="115" t="s">
        <v>1</v>
      </c>
      <c r="C1" s="115" t="s">
        <v>830</v>
      </c>
      <c r="D1" s="115" t="s">
        <v>5</v>
      </c>
      <c r="E1" s="115" t="s">
        <v>2</v>
      </c>
      <c r="F1" s="115" t="s">
        <v>3</v>
      </c>
      <c r="G1" s="115" t="s">
        <v>614</v>
      </c>
      <c r="H1" s="115" t="s">
        <v>615</v>
      </c>
      <c r="I1" s="115" t="s">
        <v>119</v>
      </c>
      <c r="J1" s="115" t="s">
        <v>17</v>
      </c>
      <c r="K1" s="117" t="s">
        <v>790</v>
      </c>
      <c r="L1" s="118"/>
    </row>
    <row r="2" spans="1:14" x14ac:dyDescent="0.2">
      <c r="A2" s="119">
        <f>ROW()-1</f>
        <v>1</v>
      </c>
      <c r="B2" s="119" t="s">
        <v>831</v>
      </c>
      <c r="C2" s="119" t="s">
        <v>832</v>
      </c>
      <c r="D2" s="119" t="s">
        <v>635</v>
      </c>
      <c r="E2" s="120" t="s">
        <v>833</v>
      </c>
      <c r="F2" s="121" t="s">
        <v>4</v>
      </c>
      <c r="G2" s="121">
        <v>1</v>
      </c>
      <c r="H2" s="137">
        <f>J2</f>
        <v>13000</v>
      </c>
      <c r="I2" s="137">
        <f>H2*G2</f>
        <v>13000</v>
      </c>
      <c r="J2" s="155">
        <v>13000</v>
      </c>
      <c r="K2" s="155">
        <v>13000</v>
      </c>
      <c r="L2" s="141"/>
      <c r="M2" s="141"/>
    </row>
    <row r="3" spans="1:14" x14ac:dyDescent="0.2">
      <c r="A3" s="119">
        <f t="shared" ref="A3:A9" si="0">ROW()-1</f>
        <v>2</v>
      </c>
      <c r="B3" s="119" t="s">
        <v>831</v>
      </c>
      <c r="C3" s="119" t="s">
        <v>840</v>
      </c>
      <c r="D3" s="119" t="s">
        <v>635</v>
      </c>
      <c r="E3" s="120" t="s">
        <v>833</v>
      </c>
      <c r="F3" s="121" t="s">
        <v>4</v>
      </c>
      <c r="G3" s="121">
        <v>1</v>
      </c>
      <c r="H3" s="137">
        <f t="shared" ref="H3:H6" si="1">J3</f>
        <v>13000</v>
      </c>
      <c r="I3" s="137">
        <f t="shared" ref="I3:I6" si="2">H3*G3</f>
        <v>13000</v>
      </c>
      <c r="J3" s="155">
        <v>13000</v>
      </c>
      <c r="K3" s="155">
        <v>13000</v>
      </c>
      <c r="L3" s="141"/>
      <c r="M3" s="141"/>
    </row>
    <row r="4" spans="1:14" x14ac:dyDescent="0.2">
      <c r="A4" s="119">
        <f t="shared" si="0"/>
        <v>3</v>
      </c>
      <c r="B4" s="119" t="s">
        <v>831</v>
      </c>
      <c r="C4" s="119" t="s">
        <v>834</v>
      </c>
      <c r="D4" s="119" t="s">
        <v>635</v>
      </c>
      <c r="E4" s="120" t="s">
        <v>835</v>
      </c>
      <c r="F4" s="121" t="s">
        <v>4</v>
      </c>
      <c r="G4" s="121">
        <v>1</v>
      </c>
      <c r="H4" s="137">
        <f t="shared" si="1"/>
        <v>13000</v>
      </c>
      <c r="I4" s="137">
        <f t="shared" si="2"/>
        <v>13000</v>
      </c>
      <c r="J4" s="155">
        <v>13000</v>
      </c>
      <c r="K4" s="155">
        <v>13000</v>
      </c>
      <c r="L4" s="141"/>
      <c r="M4" s="141"/>
    </row>
    <row r="5" spans="1:14" x14ac:dyDescent="0.2">
      <c r="A5" s="119">
        <f t="shared" si="0"/>
        <v>4</v>
      </c>
      <c r="B5" s="119" t="s">
        <v>831</v>
      </c>
      <c r="C5" s="119" t="s">
        <v>841</v>
      </c>
      <c r="D5" s="119" t="s">
        <v>635</v>
      </c>
      <c r="E5" s="120" t="s">
        <v>836</v>
      </c>
      <c r="F5" s="121" t="s">
        <v>4</v>
      </c>
      <c r="G5" s="121">
        <v>1</v>
      </c>
      <c r="H5" s="137">
        <f t="shared" si="1"/>
        <v>13000</v>
      </c>
      <c r="I5" s="137">
        <f t="shared" si="2"/>
        <v>13000</v>
      </c>
      <c r="J5" s="155">
        <v>13000</v>
      </c>
      <c r="K5" s="155">
        <v>13000</v>
      </c>
      <c r="L5" s="141"/>
      <c r="M5" s="141"/>
    </row>
    <row r="6" spans="1:14" x14ac:dyDescent="0.2">
      <c r="A6" s="119">
        <f t="shared" si="0"/>
        <v>5</v>
      </c>
      <c r="B6" s="119" t="s">
        <v>831</v>
      </c>
      <c r="C6" s="119" t="s">
        <v>842</v>
      </c>
      <c r="D6" s="119" t="s">
        <v>635</v>
      </c>
      <c r="E6" s="120" t="s">
        <v>837</v>
      </c>
      <c r="F6" s="121" t="s">
        <v>4</v>
      </c>
      <c r="G6" s="121">
        <v>1</v>
      </c>
      <c r="H6" s="137">
        <f t="shared" si="1"/>
        <v>13000</v>
      </c>
      <c r="I6" s="137">
        <f t="shared" si="2"/>
        <v>13000</v>
      </c>
      <c r="J6" s="155">
        <v>13000</v>
      </c>
      <c r="K6" s="155">
        <v>13000</v>
      </c>
      <c r="L6" s="141"/>
      <c r="M6" s="141"/>
    </row>
    <row r="7" spans="1:14" s="128" customFormat="1" x14ac:dyDescent="0.2">
      <c r="A7" s="119">
        <f t="shared" si="0"/>
        <v>6</v>
      </c>
      <c r="B7" s="349" t="s">
        <v>7</v>
      </c>
      <c r="C7" s="349"/>
      <c r="D7" s="349"/>
      <c r="E7" s="349"/>
      <c r="F7" s="349"/>
      <c r="G7" s="349"/>
      <c r="H7" s="349"/>
      <c r="I7" s="138">
        <f>SUM(I2:I6)</f>
        <v>65000</v>
      </c>
      <c r="J7" s="127"/>
      <c r="K7" s="77"/>
    </row>
    <row r="8" spans="1:14" s="128" customFormat="1" x14ac:dyDescent="0.2">
      <c r="A8" s="119">
        <f t="shared" si="0"/>
        <v>7</v>
      </c>
      <c r="B8" s="349" t="s">
        <v>649</v>
      </c>
      <c r="C8" s="349"/>
      <c r="D8" s="349"/>
      <c r="E8" s="349"/>
      <c r="F8" s="349"/>
      <c r="G8" s="349"/>
      <c r="H8" s="349"/>
      <c r="I8" s="138">
        <f>I7*18%</f>
        <v>11700</v>
      </c>
      <c r="J8" s="127"/>
      <c r="K8" s="77"/>
    </row>
    <row r="9" spans="1:14" s="128" customFormat="1" x14ac:dyDescent="0.2">
      <c r="A9" s="119">
        <f t="shared" si="0"/>
        <v>8</v>
      </c>
      <c r="B9" s="349" t="s">
        <v>8</v>
      </c>
      <c r="C9" s="349"/>
      <c r="D9" s="349"/>
      <c r="E9" s="349"/>
      <c r="F9" s="349"/>
      <c r="G9" s="349"/>
      <c r="H9" s="349"/>
      <c r="I9" s="138">
        <f>I8+I7</f>
        <v>76700</v>
      </c>
      <c r="J9" s="127"/>
      <c r="K9" s="77"/>
    </row>
    <row r="10" spans="1:14" s="128" customFormat="1" ht="147.75" customHeight="1" x14ac:dyDescent="0.2">
      <c r="A10" s="129" t="s">
        <v>9</v>
      </c>
      <c r="B10" s="350" t="s">
        <v>631</v>
      </c>
      <c r="C10" s="350"/>
      <c r="D10" s="350"/>
      <c r="E10" s="350"/>
      <c r="F10" s="350"/>
      <c r="G10" s="350"/>
      <c r="H10" s="350"/>
      <c r="I10" s="350"/>
      <c r="J10" s="127"/>
      <c r="K10" s="127"/>
      <c r="N10" s="130"/>
    </row>
  </sheetData>
  <mergeCells count="4">
    <mergeCell ref="B7:H7"/>
    <mergeCell ref="B8:H8"/>
    <mergeCell ref="B9:H9"/>
    <mergeCell ref="B10:I10"/>
  </mergeCells>
  <pageMargins left="0.23622047244094491" right="0.23622047244094491" top="0.74803149606299213" bottom="0.74803149606299213" header="0.31496062992125984" footer="0.31496062992125984"/>
  <pageSetup orientation="landscape" horizontalDpi="4294967292" r:id="rId1"/>
  <headerFooter>
    <oddHeader>&amp;LCONFIANCE INDIA&amp;CPR 2020017116 (TG Spare )&amp;R9 NOV 2023</oddHeader>
    <oddFooter>Page &amp;P of &amp;N</oddFooter>
  </headerFooter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CA350-BC4B-401E-BE52-9EB684D6A176}">
  <dimension ref="A1:M7"/>
  <sheetViews>
    <sheetView topLeftCell="B1" zoomScaleNormal="100" zoomScaleSheetLayoutView="100" workbookViewId="0">
      <selection activeCell="L2" sqref="L2"/>
    </sheetView>
  </sheetViews>
  <sheetFormatPr defaultColWidth="9.140625" defaultRowHeight="12.75" x14ac:dyDescent="0.2"/>
  <cols>
    <col min="1" max="1" width="5.85546875" style="116" bestFit="1" customWidth="1"/>
    <col min="2" max="2" width="16.7109375" style="116" customWidth="1"/>
    <col min="3" max="3" width="14.7109375" style="116" customWidth="1"/>
    <col min="4" max="4" width="58.42578125" style="116" customWidth="1"/>
    <col min="5" max="5" width="5" style="116" bestFit="1" customWidth="1"/>
    <col min="6" max="6" width="8.7109375" style="116" customWidth="1"/>
    <col min="7" max="7" width="11.5703125" style="116" bestFit="1" customWidth="1"/>
    <col min="8" max="8" width="10.140625" style="116" bestFit="1" customWidth="1"/>
    <col min="9" max="9" width="22" style="127" bestFit="1" customWidth="1"/>
    <col min="10" max="10" width="17.140625" style="77" customWidth="1"/>
    <col min="11" max="11" width="17.85546875" style="128" bestFit="1" customWidth="1"/>
    <col min="12" max="12" width="16.5703125" style="116" bestFit="1" customWidth="1"/>
    <col min="13" max="13" width="14" style="116" bestFit="1" customWidth="1"/>
    <col min="14" max="15" width="12.42578125" style="116" bestFit="1" customWidth="1"/>
    <col min="16" max="16384" width="9.140625" style="116"/>
  </cols>
  <sheetData>
    <row r="1" spans="1:13" x14ac:dyDescent="0.2">
      <c r="A1" s="115" t="s">
        <v>0</v>
      </c>
      <c r="B1" s="115" t="s">
        <v>1</v>
      </c>
      <c r="C1" s="115" t="s">
        <v>5</v>
      </c>
      <c r="D1" s="115" t="s">
        <v>2</v>
      </c>
      <c r="E1" s="115" t="s">
        <v>3</v>
      </c>
      <c r="F1" s="115" t="s">
        <v>614</v>
      </c>
      <c r="G1" s="115" t="s">
        <v>615</v>
      </c>
      <c r="H1" s="115" t="s">
        <v>119</v>
      </c>
      <c r="I1" s="115" t="s">
        <v>17</v>
      </c>
      <c r="J1" s="117" t="s">
        <v>854</v>
      </c>
      <c r="K1" s="118"/>
    </row>
    <row r="2" spans="1:13" ht="63.75" x14ac:dyDescent="0.2">
      <c r="A2" s="119">
        <f>ROW()-1</f>
        <v>1</v>
      </c>
      <c r="B2" s="119">
        <v>1100002028</v>
      </c>
      <c r="C2" s="119">
        <v>4000008108</v>
      </c>
      <c r="D2" s="120" t="s">
        <v>838</v>
      </c>
      <c r="E2" s="121" t="s">
        <v>4</v>
      </c>
      <c r="F2" s="121">
        <v>2</v>
      </c>
      <c r="G2" s="137">
        <f>I2</f>
        <v>0</v>
      </c>
      <c r="H2" s="137">
        <f>G2*F2</f>
        <v>0</v>
      </c>
      <c r="I2" s="155"/>
      <c r="J2" s="155"/>
      <c r="K2" s="141" t="s">
        <v>855</v>
      </c>
      <c r="L2" s="174" t="s">
        <v>856</v>
      </c>
    </row>
    <row r="3" spans="1:13" ht="25.5" x14ac:dyDescent="0.2">
      <c r="A3" s="119">
        <f t="shared" ref="A3:A6" si="0">ROW()-1</f>
        <v>2</v>
      </c>
      <c r="B3" s="119">
        <v>1100002028</v>
      </c>
      <c r="C3" s="119">
        <v>4000006899</v>
      </c>
      <c r="D3" s="120" t="s">
        <v>839</v>
      </c>
      <c r="E3" s="121" t="s">
        <v>4</v>
      </c>
      <c r="F3" s="121">
        <v>10</v>
      </c>
      <c r="G3" s="137">
        <f t="shared" ref="G3" si="1">I3</f>
        <v>0</v>
      </c>
      <c r="H3" s="137">
        <f t="shared" ref="H3" si="2">G3*F3</f>
        <v>0</v>
      </c>
      <c r="I3" s="155"/>
      <c r="J3" s="155"/>
      <c r="K3" s="141"/>
      <c r="L3" s="141"/>
    </row>
    <row r="4" spans="1:13" s="128" customFormat="1" x14ac:dyDescent="0.2">
      <c r="A4" s="119">
        <f t="shared" si="0"/>
        <v>3</v>
      </c>
      <c r="B4" s="349" t="s">
        <v>7</v>
      </c>
      <c r="C4" s="349"/>
      <c r="D4" s="349"/>
      <c r="E4" s="349"/>
      <c r="F4" s="349"/>
      <c r="G4" s="349"/>
      <c r="H4" s="138">
        <f>SUM(H2:H2)</f>
        <v>0</v>
      </c>
      <c r="I4" s="127"/>
      <c r="J4" s="77"/>
    </row>
    <row r="5" spans="1:13" s="128" customFormat="1" x14ac:dyDescent="0.2">
      <c r="A5" s="119">
        <f t="shared" si="0"/>
        <v>4</v>
      </c>
      <c r="B5" s="349" t="s">
        <v>649</v>
      </c>
      <c r="C5" s="349"/>
      <c r="D5" s="349"/>
      <c r="E5" s="349"/>
      <c r="F5" s="349"/>
      <c r="G5" s="349"/>
      <c r="H5" s="138">
        <f>H4*18%</f>
        <v>0</v>
      </c>
      <c r="I5" s="127"/>
      <c r="J5" s="77"/>
    </row>
    <row r="6" spans="1:13" s="128" customFormat="1" x14ac:dyDescent="0.2">
      <c r="A6" s="119">
        <f t="shared" si="0"/>
        <v>5</v>
      </c>
      <c r="B6" s="349" t="s">
        <v>8</v>
      </c>
      <c r="C6" s="349"/>
      <c r="D6" s="349"/>
      <c r="E6" s="349"/>
      <c r="F6" s="349"/>
      <c r="G6" s="349"/>
      <c r="H6" s="138">
        <f>H5+H4</f>
        <v>0</v>
      </c>
      <c r="I6" s="127"/>
      <c r="J6" s="77"/>
    </row>
    <row r="7" spans="1:13" s="128" customFormat="1" ht="147.75" customHeight="1" x14ac:dyDescent="0.2">
      <c r="A7" s="129" t="s">
        <v>9</v>
      </c>
      <c r="B7" s="350" t="s">
        <v>631</v>
      </c>
      <c r="C7" s="350"/>
      <c r="D7" s="350"/>
      <c r="E7" s="350"/>
      <c r="F7" s="350"/>
      <c r="G7" s="350"/>
      <c r="H7" s="350"/>
      <c r="I7" s="127"/>
      <c r="J7" s="127"/>
      <c r="M7" s="130"/>
    </row>
  </sheetData>
  <mergeCells count="4">
    <mergeCell ref="B4:G4"/>
    <mergeCell ref="B5:G5"/>
    <mergeCell ref="B6:G6"/>
    <mergeCell ref="B7:H7"/>
  </mergeCells>
  <pageMargins left="0.23622047244094491" right="0.23622047244094491" top="0.74803149606299213" bottom="0.74803149606299213" header="0.31496062992125984" footer="0.31496062992125984"/>
  <pageSetup orientation="landscape" horizontalDpi="4294967292" r:id="rId1"/>
  <headerFooter>
    <oddHeader>&amp;LCONFIANCE INDIA&amp;CPR 2020017116 (TG Spare )&amp;R9 NOV 2023</oddHeader>
    <oddFooter>Page &amp;P of &amp;N</oddFooter>
  </headerFooter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A97BE-1DF6-4F17-AD32-6F1E4DE86523}">
  <dimension ref="A1:L7"/>
  <sheetViews>
    <sheetView zoomScaleNormal="100" workbookViewId="0">
      <selection activeCell="J6" sqref="J6"/>
    </sheetView>
  </sheetViews>
  <sheetFormatPr defaultColWidth="9.140625" defaultRowHeight="12.75" x14ac:dyDescent="0.25"/>
  <cols>
    <col min="1" max="1" width="6.140625" style="61" customWidth="1"/>
    <col min="2" max="2" width="14.5703125" style="61" bestFit="1" customWidth="1"/>
    <col min="3" max="3" width="16.85546875" style="176" customWidth="1"/>
    <col min="4" max="4" width="50.7109375" style="176" customWidth="1"/>
    <col min="5" max="5" width="5.85546875" style="113" bestFit="1" customWidth="1"/>
    <col min="6" max="6" width="5.28515625" style="113" customWidth="1"/>
    <col min="7" max="7" width="13.28515625" style="113" customWidth="1"/>
    <col min="8" max="8" width="13.28515625" style="113" bestFit="1" customWidth="1"/>
    <col min="9" max="9" width="11" style="175" bestFit="1" customWidth="1"/>
    <col min="10" max="10" width="11.7109375" style="175" bestFit="1" customWidth="1"/>
    <col min="11" max="11" width="14.42578125" style="175" customWidth="1"/>
    <col min="12" max="12" width="13.42578125" style="113" bestFit="1" customWidth="1"/>
    <col min="13" max="13" width="13.7109375" style="113" bestFit="1" customWidth="1"/>
    <col min="14" max="16384" width="9.140625" style="113"/>
  </cols>
  <sheetData>
    <row r="1" spans="1:12" s="181" customFormat="1" x14ac:dyDescent="0.25">
      <c r="A1" s="48" t="s">
        <v>852</v>
      </c>
      <c r="B1" s="48" t="s">
        <v>851</v>
      </c>
      <c r="C1" s="48" t="s">
        <v>850</v>
      </c>
      <c r="D1" s="48" t="s">
        <v>849</v>
      </c>
      <c r="E1" s="48" t="s">
        <v>3</v>
      </c>
      <c r="F1" s="48" t="s">
        <v>848</v>
      </c>
      <c r="G1" s="48" t="s">
        <v>615</v>
      </c>
      <c r="H1" s="48" t="s">
        <v>119</v>
      </c>
      <c r="I1" s="190" t="s">
        <v>17</v>
      </c>
      <c r="J1" s="190" t="s">
        <v>10</v>
      </c>
      <c r="K1" s="189" t="s">
        <v>808</v>
      </c>
    </row>
    <row r="2" spans="1:12" s="181" customFormat="1" ht="153" x14ac:dyDescent="0.25">
      <c r="A2" s="51">
        <f>ROW()-1</f>
        <v>1</v>
      </c>
      <c r="B2" s="51">
        <v>1100002177</v>
      </c>
      <c r="C2" s="51">
        <v>4000013871</v>
      </c>
      <c r="D2" s="53" t="s">
        <v>853</v>
      </c>
      <c r="E2" s="51" t="s">
        <v>4</v>
      </c>
      <c r="F2" s="51">
        <v>2</v>
      </c>
      <c r="G2" s="188">
        <f>I2*95*1.35</f>
        <v>183397.5</v>
      </c>
      <c r="H2" s="186">
        <f>G2*F2</f>
        <v>366795</v>
      </c>
      <c r="I2" s="187">
        <v>1430</v>
      </c>
      <c r="J2" s="187">
        <v>1430</v>
      </c>
      <c r="K2" s="183">
        <v>1280</v>
      </c>
      <c r="L2" s="182"/>
    </row>
    <row r="3" spans="1:12" s="181" customFormat="1" x14ac:dyDescent="0.25">
      <c r="A3" s="51">
        <f>ROW()-1</f>
        <v>2</v>
      </c>
      <c r="B3" s="72"/>
      <c r="C3" s="343" t="s">
        <v>119</v>
      </c>
      <c r="D3" s="343"/>
      <c r="E3" s="343"/>
      <c r="F3" s="343"/>
      <c r="G3" s="343"/>
      <c r="H3" s="186">
        <f>SUM(H2:H2)</f>
        <v>366795</v>
      </c>
      <c r="I3" s="185"/>
      <c r="J3" s="184"/>
      <c r="K3" s="183"/>
      <c r="L3" s="182"/>
    </row>
    <row r="4" spans="1:12" x14ac:dyDescent="0.25">
      <c r="A4" s="51">
        <f>ROW()-1</f>
        <v>3</v>
      </c>
      <c r="B4" s="51"/>
      <c r="C4" s="343" t="s">
        <v>847</v>
      </c>
      <c r="D4" s="343"/>
      <c r="E4" s="343"/>
      <c r="F4" s="343"/>
      <c r="G4" s="343"/>
      <c r="H4" s="138">
        <f>H3*18%</f>
        <v>66023.099999999991</v>
      </c>
      <c r="I4" s="177"/>
      <c r="J4" s="177"/>
      <c r="K4" s="177"/>
    </row>
    <row r="5" spans="1:12" x14ac:dyDescent="0.25">
      <c r="A5" s="51">
        <f>ROW()-1</f>
        <v>4</v>
      </c>
      <c r="B5" s="51"/>
      <c r="C5" s="343" t="s">
        <v>846</v>
      </c>
      <c r="D5" s="343"/>
      <c r="E5" s="343"/>
      <c r="F5" s="343"/>
      <c r="G5" s="343"/>
      <c r="H5" s="138">
        <f>SUM(H3:H4)</f>
        <v>432818.1</v>
      </c>
      <c r="I5" s="177"/>
      <c r="J5" s="177"/>
      <c r="K5" s="177"/>
    </row>
    <row r="6" spans="1:12" s="176" customFormat="1" x14ac:dyDescent="0.25">
      <c r="A6" s="351" t="s">
        <v>845</v>
      </c>
      <c r="B6" s="351"/>
      <c r="C6" s="351"/>
      <c r="D6" s="351"/>
      <c r="E6" s="351"/>
      <c r="F6" s="351"/>
      <c r="G6" s="351"/>
      <c r="H6" s="351"/>
      <c r="I6" s="180"/>
      <c r="J6" s="177"/>
    </row>
    <row r="7" spans="1:12" s="176" customFormat="1" ht="141" customHeight="1" x14ac:dyDescent="0.25">
      <c r="A7" s="179" t="s">
        <v>844</v>
      </c>
      <c r="B7" s="352" t="s">
        <v>843</v>
      </c>
      <c r="C7" s="352"/>
      <c r="D7" s="352"/>
      <c r="E7" s="352"/>
      <c r="F7" s="352"/>
      <c r="G7" s="352"/>
      <c r="H7" s="352"/>
      <c r="I7" s="178"/>
      <c r="J7" s="177"/>
    </row>
  </sheetData>
  <mergeCells count="5">
    <mergeCell ref="C3:G3"/>
    <mergeCell ref="C4:G4"/>
    <mergeCell ref="C5:G5"/>
    <mergeCell ref="A6:H6"/>
    <mergeCell ref="B7:H7"/>
  </mergeCells>
  <printOptions horizontalCentered="1"/>
  <pageMargins left="0.25" right="0.25" top="0.75" bottom="0.75" header="0.3" footer="0.3"/>
  <pageSetup scale="105" orientation="landscape" horizontalDpi="4294967292" r:id="rId1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AA853-DAC7-4C67-8009-FB4BC9FCB988}">
  <dimension ref="A1:L13"/>
  <sheetViews>
    <sheetView zoomScaleNormal="100" workbookViewId="0">
      <selection activeCell="D1" sqref="D1:F6"/>
    </sheetView>
  </sheetViews>
  <sheetFormatPr defaultColWidth="9.140625" defaultRowHeight="12.75" x14ac:dyDescent="0.25"/>
  <cols>
    <col min="1" max="1" width="6.140625" style="61" customWidth="1"/>
    <col min="2" max="2" width="16.42578125" style="61" bestFit="1" customWidth="1"/>
    <col min="3" max="3" width="16.85546875" style="176" customWidth="1"/>
    <col min="4" max="4" width="54" style="176" bestFit="1" customWidth="1"/>
    <col min="5" max="5" width="5.85546875" style="113" bestFit="1" customWidth="1"/>
    <col min="6" max="6" width="5.28515625" style="113" customWidth="1"/>
    <col min="7" max="7" width="13.28515625" style="113" customWidth="1"/>
    <col min="8" max="8" width="13.28515625" style="113" bestFit="1" customWidth="1"/>
    <col min="9" max="9" width="11" style="175" bestFit="1" customWidth="1"/>
    <col min="10" max="10" width="11.7109375" style="175" bestFit="1" customWidth="1"/>
    <col min="11" max="11" width="14.42578125" style="175" customWidth="1"/>
    <col min="12" max="12" width="13.42578125" style="113" bestFit="1" customWidth="1"/>
    <col min="13" max="13" width="13.7109375" style="113" bestFit="1" customWidth="1"/>
    <col min="14" max="16384" width="9.140625" style="113"/>
  </cols>
  <sheetData>
    <row r="1" spans="1:12" s="181" customFormat="1" x14ac:dyDescent="0.25">
      <c r="A1" s="48" t="s">
        <v>852</v>
      </c>
      <c r="B1" s="48" t="s">
        <v>851</v>
      </c>
      <c r="C1" s="48" t="s">
        <v>850</v>
      </c>
      <c r="D1" s="48" t="s">
        <v>849</v>
      </c>
      <c r="E1" s="48" t="s">
        <v>3</v>
      </c>
      <c r="F1" s="48" t="s">
        <v>848</v>
      </c>
      <c r="G1" s="48" t="s">
        <v>615</v>
      </c>
      <c r="H1" s="48" t="s">
        <v>119</v>
      </c>
      <c r="I1" s="190" t="s">
        <v>17</v>
      </c>
      <c r="J1" s="190" t="s">
        <v>10</v>
      </c>
      <c r="K1" s="189" t="s">
        <v>808</v>
      </c>
    </row>
    <row r="2" spans="1:12" s="181" customFormat="1" ht="38.25" x14ac:dyDescent="0.25">
      <c r="A2" s="51">
        <f>ROW()-1</f>
        <v>1</v>
      </c>
      <c r="B2" s="51" t="s">
        <v>858</v>
      </c>
      <c r="C2" s="51">
        <v>4000012700</v>
      </c>
      <c r="D2" s="53" t="s">
        <v>861</v>
      </c>
      <c r="E2" s="51" t="s">
        <v>619</v>
      </c>
      <c r="F2" s="51">
        <v>1</v>
      </c>
      <c r="G2" s="188"/>
      <c r="H2" s="186"/>
      <c r="I2" s="187"/>
      <c r="J2" s="187"/>
      <c r="K2" s="183"/>
      <c r="L2" s="182"/>
    </row>
    <row r="3" spans="1:12" s="181" customFormat="1" ht="38.25" x14ac:dyDescent="0.25">
      <c r="A3" s="51">
        <f t="shared" ref="A3:A6" si="0">ROW()-1</f>
        <v>2</v>
      </c>
      <c r="B3" s="51" t="s">
        <v>858</v>
      </c>
      <c r="C3" s="51">
        <v>4000012697</v>
      </c>
      <c r="D3" s="53" t="s">
        <v>862</v>
      </c>
      <c r="E3" s="51" t="s">
        <v>619</v>
      </c>
      <c r="F3" s="51">
        <v>1</v>
      </c>
      <c r="G3" s="188"/>
      <c r="H3" s="186"/>
      <c r="I3" s="187"/>
      <c r="J3" s="187"/>
      <c r="K3" s="183"/>
      <c r="L3" s="182"/>
    </row>
    <row r="4" spans="1:12" s="181" customFormat="1" ht="15" x14ac:dyDescent="0.25">
      <c r="A4" s="51">
        <f t="shared" si="0"/>
        <v>3</v>
      </c>
      <c r="B4" s="51" t="s">
        <v>858</v>
      </c>
      <c r="C4" s="51">
        <v>4000008561</v>
      </c>
      <c r="D4" s="53" t="s">
        <v>859</v>
      </c>
      <c r="E4" s="51" t="s">
        <v>619</v>
      </c>
      <c r="F4" s="51">
        <v>32</v>
      </c>
      <c r="G4" s="188"/>
      <c r="H4" s="186"/>
      <c r="I4" s="187"/>
      <c r="J4" s="187"/>
      <c r="K4" s="183"/>
      <c r="L4" s="182"/>
    </row>
    <row r="5" spans="1:12" s="181" customFormat="1" ht="51" x14ac:dyDescent="0.25">
      <c r="A5" s="51">
        <f t="shared" si="0"/>
        <v>4</v>
      </c>
      <c r="B5" s="51" t="s">
        <v>858</v>
      </c>
      <c r="C5" s="51">
        <v>4000012706</v>
      </c>
      <c r="D5" s="53" t="s">
        <v>863</v>
      </c>
      <c r="E5" s="51" t="s">
        <v>619</v>
      </c>
      <c r="F5" s="51">
        <v>2</v>
      </c>
      <c r="G5" s="188"/>
      <c r="H5" s="186"/>
      <c r="I5" s="187"/>
      <c r="J5" s="187"/>
      <c r="K5" s="183"/>
      <c r="L5" s="182"/>
    </row>
    <row r="6" spans="1:12" s="181" customFormat="1" ht="102" x14ac:dyDescent="0.25">
      <c r="A6" s="51">
        <f t="shared" si="0"/>
        <v>5</v>
      </c>
      <c r="B6" s="51" t="s">
        <v>858</v>
      </c>
      <c r="C6" s="51">
        <v>4000012709</v>
      </c>
      <c r="D6" s="53" t="s">
        <v>860</v>
      </c>
      <c r="E6" s="51" t="s">
        <v>619</v>
      </c>
      <c r="F6" s="51">
        <v>1</v>
      </c>
      <c r="G6" s="188"/>
      <c r="H6" s="186"/>
      <c r="I6" s="187"/>
      <c r="J6" s="187"/>
      <c r="K6" s="183"/>
      <c r="L6" s="182"/>
    </row>
    <row r="7" spans="1:12" s="181" customFormat="1" x14ac:dyDescent="0.25">
      <c r="A7" s="51">
        <f>ROW()-1</f>
        <v>6</v>
      </c>
      <c r="B7" s="72"/>
      <c r="C7" s="343" t="s">
        <v>119</v>
      </c>
      <c r="D7" s="343"/>
      <c r="E7" s="343"/>
      <c r="F7" s="343"/>
      <c r="G7" s="343"/>
      <c r="H7" s="186">
        <f>SUM(H2:H2)</f>
        <v>0</v>
      </c>
      <c r="I7" s="185"/>
      <c r="J7" s="184"/>
      <c r="K7" s="183"/>
      <c r="L7" s="182"/>
    </row>
    <row r="8" spans="1:12" x14ac:dyDescent="0.25">
      <c r="A8" s="51">
        <f>ROW()-1</f>
        <v>7</v>
      </c>
      <c r="B8" s="51"/>
      <c r="C8" s="343" t="s">
        <v>847</v>
      </c>
      <c r="D8" s="343"/>
      <c r="E8" s="343"/>
      <c r="F8" s="343"/>
      <c r="G8" s="343"/>
      <c r="H8" s="138">
        <f>H7*18%</f>
        <v>0</v>
      </c>
      <c r="I8" s="177"/>
      <c r="J8" s="177"/>
      <c r="K8" s="177"/>
    </row>
    <row r="9" spans="1:12" x14ac:dyDescent="0.25">
      <c r="A9" s="51">
        <f>ROW()-1</f>
        <v>8</v>
      </c>
      <c r="B9" s="51"/>
      <c r="C9" s="343" t="s">
        <v>846</v>
      </c>
      <c r="D9" s="343"/>
      <c r="E9" s="343"/>
      <c r="F9" s="343"/>
      <c r="G9" s="343"/>
      <c r="H9" s="138">
        <f>SUM(H7:H8)</f>
        <v>0</v>
      </c>
      <c r="I9" s="177"/>
      <c r="J9" s="177"/>
      <c r="K9" s="177"/>
    </row>
    <row r="10" spans="1:12" s="176" customFormat="1" x14ac:dyDescent="0.25">
      <c r="A10" s="351" t="s">
        <v>845</v>
      </c>
      <c r="B10" s="351"/>
      <c r="C10" s="351"/>
      <c r="D10" s="351"/>
      <c r="E10" s="351"/>
      <c r="F10" s="351"/>
      <c r="G10" s="351"/>
      <c r="H10" s="351"/>
      <c r="I10" s="180"/>
      <c r="J10" s="177"/>
    </row>
    <row r="11" spans="1:12" s="176" customFormat="1" ht="141" customHeight="1" x14ac:dyDescent="0.25">
      <c r="A11" s="179" t="s">
        <v>844</v>
      </c>
      <c r="B11" s="352" t="s">
        <v>843</v>
      </c>
      <c r="C11" s="352"/>
      <c r="D11" s="352"/>
      <c r="E11" s="352"/>
      <c r="F11" s="352"/>
      <c r="G11" s="352"/>
      <c r="H11" s="352"/>
      <c r="I11" s="178"/>
      <c r="J11" s="177"/>
    </row>
    <row r="13" spans="1:12" x14ac:dyDescent="0.25">
      <c r="D13" s="176" t="s">
        <v>857</v>
      </c>
    </row>
  </sheetData>
  <mergeCells count="5">
    <mergeCell ref="C7:G7"/>
    <mergeCell ref="C8:G8"/>
    <mergeCell ref="C9:G9"/>
    <mergeCell ref="A10:H10"/>
    <mergeCell ref="B11:H11"/>
  </mergeCells>
  <printOptions horizontalCentered="1"/>
  <pageMargins left="0.25" right="0.25" top="0.75" bottom="0.75" header="0.3" footer="0.3"/>
  <pageSetup scale="105" orientation="landscape" horizontalDpi="4294967292" r:id="rId1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24532-0979-4D46-B2DD-2667FD49731E}">
  <dimension ref="A1:M7"/>
  <sheetViews>
    <sheetView zoomScaleNormal="100" workbookViewId="0">
      <selection activeCell="I2" sqref="I2"/>
    </sheetView>
  </sheetViews>
  <sheetFormatPr defaultColWidth="9.140625" defaultRowHeight="12.75" x14ac:dyDescent="0.25"/>
  <cols>
    <col min="1" max="1" width="6.140625" style="210" customWidth="1"/>
    <col min="2" max="2" width="14.5703125" style="210" bestFit="1" customWidth="1"/>
    <col min="3" max="3" width="16.85546875" style="206" customWidth="1"/>
    <col min="4" max="4" width="50.7109375" style="206" customWidth="1"/>
    <col min="5" max="5" width="5.85546875" style="204" bestFit="1" customWidth="1"/>
    <col min="6" max="6" width="5.28515625" style="204" customWidth="1"/>
    <col min="7" max="7" width="13.28515625" style="204" customWidth="1"/>
    <col min="8" max="8" width="13.28515625" style="204" bestFit="1" customWidth="1"/>
    <col min="9" max="9" width="13.28515625" style="204" customWidth="1"/>
    <col min="10" max="10" width="11" style="175" bestFit="1" customWidth="1"/>
    <col min="11" max="11" width="11.7109375" style="175" bestFit="1" customWidth="1"/>
    <col min="12" max="12" width="18.7109375" style="175" bestFit="1" customWidth="1"/>
    <col min="13" max="13" width="13.42578125" style="204" bestFit="1" customWidth="1"/>
    <col min="14" max="14" width="13.7109375" style="204" bestFit="1" customWidth="1"/>
    <col min="15" max="16384" width="9.140625" style="204"/>
  </cols>
  <sheetData>
    <row r="1" spans="1:13" s="193" customFormat="1" x14ac:dyDescent="0.25">
      <c r="A1" s="191" t="s">
        <v>852</v>
      </c>
      <c r="B1" s="191" t="s">
        <v>851</v>
      </c>
      <c r="C1" s="191" t="s">
        <v>850</v>
      </c>
      <c r="D1" s="191" t="s">
        <v>849</v>
      </c>
      <c r="E1" s="191" t="s">
        <v>3</v>
      </c>
      <c r="F1" s="191" t="s">
        <v>848</v>
      </c>
      <c r="G1" s="191" t="s">
        <v>615</v>
      </c>
      <c r="H1" s="191" t="s">
        <v>119</v>
      </c>
      <c r="I1" s="192" t="s">
        <v>864</v>
      </c>
      <c r="J1" s="190" t="s">
        <v>865</v>
      </c>
      <c r="K1" s="190" t="s">
        <v>347</v>
      </c>
      <c r="L1" s="189"/>
    </row>
    <row r="2" spans="1:13" s="193" customFormat="1" ht="51" x14ac:dyDescent="0.25">
      <c r="A2" s="194">
        <f>ROW()-1</f>
        <v>1</v>
      </c>
      <c r="B2" s="194">
        <v>1100002347</v>
      </c>
      <c r="C2" s="194">
        <v>4000012389</v>
      </c>
      <c r="D2" s="195" t="s">
        <v>866</v>
      </c>
      <c r="E2" s="194" t="s">
        <v>867</v>
      </c>
      <c r="F2" s="194">
        <v>1</v>
      </c>
      <c r="G2" s="196">
        <f>I2*95*1.35</f>
        <v>1138860</v>
      </c>
      <c r="H2" s="186">
        <f>G2*F2</f>
        <v>1138860</v>
      </c>
      <c r="I2" s="197">
        <v>8880</v>
      </c>
      <c r="J2" s="198">
        <v>8880</v>
      </c>
      <c r="K2" s="198">
        <v>6880</v>
      </c>
      <c r="L2" s="183"/>
      <c r="M2" s="199"/>
    </row>
    <row r="3" spans="1:13" s="193" customFormat="1" x14ac:dyDescent="0.25">
      <c r="A3" s="194">
        <f>ROW()-1</f>
        <v>2</v>
      </c>
      <c r="B3" s="200"/>
      <c r="C3" s="353" t="s">
        <v>119</v>
      </c>
      <c r="D3" s="353"/>
      <c r="E3" s="353"/>
      <c r="F3" s="353"/>
      <c r="G3" s="353"/>
      <c r="H3" s="186">
        <f>SUM(H2:H2)</f>
        <v>1138860</v>
      </c>
      <c r="I3" s="201"/>
      <c r="J3" s="185"/>
      <c r="K3" s="202" t="s">
        <v>868</v>
      </c>
      <c r="L3" s="183"/>
      <c r="M3" s="199"/>
    </row>
    <row r="4" spans="1:13" x14ac:dyDescent="0.25">
      <c r="A4" s="194">
        <f>ROW()-1</f>
        <v>3</v>
      </c>
      <c r="B4" s="194"/>
      <c r="C4" s="353" t="s">
        <v>847</v>
      </c>
      <c r="D4" s="353"/>
      <c r="E4" s="353"/>
      <c r="F4" s="353"/>
      <c r="G4" s="353"/>
      <c r="H4" s="138">
        <f>H3*18%</f>
        <v>204994.8</v>
      </c>
      <c r="I4" s="203"/>
      <c r="J4" s="177"/>
      <c r="K4" s="177"/>
      <c r="L4" s="177"/>
    </row>
    <row r="5" spans="1:13" x14ac:dyDescent="0.25">
      <c r="A5" s="194">
        <f>ROW()-1</f>
        <v>4</v>
      </c>
      <c r="B5" s="194"/>
      <c r="C5" s="353" t="s">
        <v>846</v>
      </c>
      <c r="D5" s="353"/>
      <c r="E5" s="353"/>
      <c r="F5" s="353"/>
      <c r="G5" s="353"/>
      <c r="H5" s="138">
        <f>SUM(H3:H4)</f>
        <v>1343854.8</v>
      </c>
      <c r="I5" s="203"/>
      <c r="J5" s="177"/>
      <c r="K5" s="177"/>
      <c r="L5" s="177"/>
    </row>
    <row r="6" spans="1:13" s="206" customFormat="1" x14ac:dyDescent="0.25">
      <c r="A6" s="354" t="s">
        <v>845</v>
      </c>
      <c r="B6" s="354"/>
      <c r="C6" s="354"/>
      <c r="D6" s="354"/>
      <c r="E6" s="354"/>
      <c r="F6" s="354"/>
      <c r="G6" s="354"/>
      <c r="H6" s="354"/>
      <c r="I6" s="205"/>
      <c r="J6" s="205"/>
      <c r="K6" s="177"/>
    </row>
    <row r="7" spans="1:13" s="206" customFormat="1" ht="141" customHeight="1" x14ac:dyDescent="0.25">
      <c r="A7" s="207" t="s">
        <v>844</v>
      </c>
      <c r="B7" s="355" t="s">
        <v>843</v>
      </c>
      <c r="C7" s="355"/>
      <c r="D7" s="355"/>
      <c r="E7" s="355"/>
      <c r="F7" s="355"/>
      <c r="G7" s="355"/>
      <c r="H7" s="355"/>
      <c r="I7" s="208"/>
      <c r="J7" s="209"/>
      <c r="K7" s="177"/>
    </row>
  </sheetData>
  <mergeCells count="5">
    <mergeCell ref="C3:G3"/>
    <mergeCell ref="C4:G4"/>
    <mergeCell ref="C5:G5"/>
    <mergeCell ref="A6:H6"/>
    <mergeCell ref="B7:H7"/>
  </mergeCells>
  <printOptions horizontalCentered="1"/>
  <pageMargins left="0.25" right="0.25" top="0.75" bottom="0.75" header="0.3" footer="0.3"/>
  <pageSetup scale="105" orientation="landscape" horizontalDpi="4294967292" r:id="rId1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200D3-F317-42FE-9F31-A765D9000380}">
  <dimension ref="A1:M7"/>
  <sheetViews>
    <sheetView zoomScaleNormal="100" workbookViewId="0">
      <selection activeCell="G2" sqref="G2"/>
    </sheetView>
  </sheetViews>
  <sheetFormatPr defaultColWidth="9.140625" defaultRowHeight="12.75" x14ac:dyDescent="0.25"/>
  <cols>
    <col min="1" max="1" width="6.140625" style="210" customWidth="1"/>
    <col min="2" max="2" width="14.5703125" style="210" bestFit="1" customWidth="1"/>
    <col min="3" max="3" width="16.85546875" style="206" customWidth="1"/>
    <col min="4" max="4" width="50.7109375" style="206" customWidth="1"/>
    <col min="5" max="5" width="5.85546875" style="204" bestFit="1" customWidth="1"/>
    <col min="6" max="6" width="5.28515625" style="204" customWidth="1"/>
    <col min="7" max="7" width="13.28515625" style="204" customWidth="1"/>
    <col min="8" max="8" width="13.28515625" style="204" bestFit="1" customWidth="1"/>
    <col min="9" max="9" width="19.5703125" style="204" customWidth="1"/>
    <col min="10" max="10" width="11" style="175" bestFit="1" customWidth="1"/>
    <col min="11" max="11" width="11.7109375" style="175" bestFit="1" customWidth="1"/>
    <col min="12" max="12" width="18.7109375" style="175" bestFit="1" customWidth="1"/>
    <col min="13" max="13" width="13.42578125" style="204" bestFit="1" customWidth="1"/>
    <col min="14" max="14" width="13.7109375" style="204" bestFit="1" customWidth="1"/>
    <col min="15" max="16384" width="9.140625" style="204"/>
  </cols>
  <sheetData>
    <row r="1" spans="1:13" s="193" customFormat="1" x14ac:dyDescent="0.25">
      <c r="A1" s="191" t="s">
        <v>852</v>
      </c>
      <c r="B1" s="191" t="s">
        <v>851</v>
      </c>
      <c r="C1" s="191" t="s">
        <v>850</v>
      </c>
      <c r="D1" s="191" t="s">
        <v>849</v>
      </c>
      <c r="E1" s="191" t="s">
        <v>3</v>
      </c>
      <c r="F1" s="191" t="s">
        <v>848</v>
      </c>
      <c r="G1" s="191" t="s">
        <v>615</v>
      </c>
      <c r="H1" s="191" t="s">
        <v>119</v>
      </c>
      <c r="I1" s="192" t="s">
        <v>878</v>
      </c>
      <c r="J1" s="190" t="s">
        <v>808</v>
      </c>
      <c r="K1" s="190"/>
      <c r="L1" s="189"/>
    </row>
    <row r="2" spans="1:13" s="193" customFormat="1" ht="38.25" x14ac:dyDescent="0.25">
      <c r="A2" s="194">
        <f>ROW()-1</f>
        <v>1</v>
      </c>
      <c r="B2" s="194">
        <v>1100002231</v>
      </c>
      <c r="C2" s="194">
        <v>4000007392</v>
      </c>
      <c r="D2" s="195" t="s">
        <v>869</v>
      </c>
      <c r="E2" s="194" t="s">
        <v>619</v>
      </c>
      <c r="F2" s="194">
        <v>2</v>
      </c>
      <c r="G2" s="196">
        <f>I2*93*1.33</f>
        <v>154612.5</v>
      </c>
      <c r="H2" s="186">
        <f>G2*F2</f>
        <v>309225</v>
      </c>
      <c r="I2" s="197">
        <v>1250</v>
      </c>
      <c r="J2" s="198">
        <v>1880</v>
      </c>
      <c r="K2" s="198"/>
      <c r="L2" s="183"/>
      <c r="M2" s="199"/>
    </row>
    <row r="3" spans="1:13" s="193" customFormat="1" x14ac:dyDescent="0.25">
      <c r="A3" s="194">
        <f>ROW()-1</f>
        <v>2</v>
      </c>
      <c r="B3" s="200"/>
      <c r="C3" s="353" t="s">
        <v>119</v>
      </c>
      <c r="D3" s="353"/>
      <c r="E3" s="353"/>
      <c r="F3" s="353"/>
      <c r="G3" s="353"/>
      <c r="H3" s="186">
        <f>SUM(H2:H2)</f>
        <v>309225</v>
      </c>
      <c r="I3" s="201"/>
      <c r="J3" s="185"/>
      <c r="K3" s="202"/>
      <c r="L3" s="183"/>
      <c r="M3" s="199"/>
    </row>
    <row r="4" spans="1:13" x14ac:dyDescent="0.25">
      <c r="A4" s="194">
        <f>ROW()-1</f>
        <v>3</v>
      </c>
      <c r="B4" s="194"/>
      <c r="C4" s="353" t="s">
        <v>847</v>
      </c>
      <c r="D4" s="353"/>
      <c r="E4" s="353"/>
      <c r="F4" s="353"/>
      <c r="G4" s="353"/>
      <c r="H4" s="138">
        <f>H3*18%</f>
        <v>55660.5</v>
      </c>
      <c r="I4" s="203"/>
      <c r="J4" s="177"/>
      <c r="K4" s="177"/>
      <c r="L4" s="177"/>
    </row>
    <row r="5" spans="1:13" x14ac:dyDescent="0.25">
      <c r="A5" s="194">
        <f>ROW()-1</f>
        <v>4</v>
      </c>
      <c r="B5" s="194"/>
      <c r="C5" s="353" t="s">
        <v>846</v>
      </c>
      <c r="D5" s="353"/>
      <c r="E5" s="353"/>
      <c r="F5" s="353"/>
      <c r="G5" s="353"/>
      <c r="H5" s="138">
        <f>SUM(H3:H4)</f>
        <v>364885.5</v>
      </c>
      <c r="I5" s="203"/>
      <c r="J5" s="177"/>
      <c r="K5" s="177"/>
      <c r="L5" s="177"/>
    </row>
    <row r="6" spans="1:13" s="206" customFormat="1" x14ac:dyDescent="0.25">
      <c r="A6" s="354" t="s">
        <v>845</v>
      </c>
      <c r="B6" s="354"/>
      <c r="C6" s="354"/>
      <c r="D6" s="354"/>
      <c r="E6" s="354"/>
      <c r="F6" s="354"/>
      <c r="G6" s="354"/>
      <c r="H6" s="354"/>
      <c r="I6" s="205"/>
      <c r="J6" s="205"/>
      <c r="K6" s="177"/>
    </row>
    <row r="7" spans="1:13" s="206" customFormat="1" ht="141" customHeight="1" x14ac:dyDescent="0.25">
      <c r="A7" s="207" t="s">
        <v>844</v>
      </c>
      <c r="B7" s="355" t="s">
        <v>879</v>
      </c>
      <c r="C7" s="355"/>
      <c r="D7" s="355"/>
      <c r="E7" s="355"/>
      <c r="F7" s="355"/>
      <c r="G7" s="355"/>
      <c r="H7" s="355"/>
      <c r="I7" s="208"/>
      <c r="J7" s="209"/>
      <c r="K7" s="177"/>
    </row>
  </sheetData>
  <mergeCells count="5">
    <mergeCell ref="C3:G3"/>
    <mergeCell ref="C4:G4"/>
    <mergeCell ref="C5:G5"/>
    <mergeCell ref="A6:H6"/>
    <mergeCell ref="B7:H7"/>
  </mergeCells>
  <printOptions horizontalCentered="1"/>
  <pageMargins left="0.25" right="0.25" top="0.75" bottom="0.75" header="0.3" footer="0.3"/>
  <pageSetup scale="105" orientation="landscape" horizontalDpi="4294967292" r:id="rId1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1FF1E-48D2-40A1-8A1B-9ABCDD65069D}">
  <dimension ref="A1:M16"/>
  <sheetViews>
    <sheetView zoomScaleNormal="100" workbookViewId="0">
      <selection activeCell="G8" sqref="G8"/>
    </sheetView>
  </sheetViews>
  <sheetFormatPr defaultColWidth="9.140625" defaultRowHeight="12.75" x14ac:dyDescent="0.25"/>
  <cols>
    <col min="1" max="1" width="6.140625" style="210" customWidth="1"/>
    <col min="2" max="2" width="14.5703125" style="210" bestFit="1" customWidth="1"/>
    <col min="3" max="3" width="16.85546875" style="206" customWidth="1"/>
    <col min="4" max="4" width="60" style="206" customWidth="1"/>
    <col min="5" max="5" width="5.85546875" style="204" bestFit="1" customWidth="1"/>
    <col min="6" max="6" width="5.28515625" style="204" customWidth="1"/>
    <col min="7" max="7" width="13.28515625" style="204" customWidth="1"/>
    <col min="8" max="8" width="13.28515625" style="204" bestFit="1" customWidth="1"/>
    <col min="9" max="9" width="13.28515625" style="204" customWidth="1"/>
    <col min="10" max="10" width="11" style="175" bestFit="1" customWidth="1"/>
    <col min="11" max="11" width="11.7109375" style="175" bestFit="1" customWidth="1"/>
    <col min="12" max="12" width="18.7109375" style="175" bestFit="1" customWidth="1"/>
    <col min="13" max="13" width="13.42578125" style="204" bestFit="1" customWidth="1"/>
    <col min="14" max="14" width="13.7109375" style="204" bestFit="1" customWidth="1"/>
    <col min="15" max="16384" width="9.140625" style="204"/>
  </cols>
  <sheetData>
    <row r="1" spans="1:13" s="193" customFormat="1" x14ac:dyDescent="0.25">
      <c r="A1" s="191" t="s">
        <v>852</v>
      </c>
      <c r="B1" s="191" t="s">
        <v>851</v>
      </c>
      <c r="C1" s="191" t="s">
        <v>850</v>
      </c>
      <c r="D1" s="191" t="s">
        <v>849</v>
      </c>
      <c r="E1" s="191" t="s">
        <v>3</v>
      </c>
      <c r="F1" s="191" t="s">
        <v>848</v>
      </c>
      <c r="G1" s="191" t="s">
        <v>615</v>
      </c>
      <c r="H1" s="191" t="s">
        <v>119</v>
      </c>
      <c r="I1" s="192" t="s">
        <v>864</v>
      </c>
      <c r="J1" s="190" t="s">
        <v>808</v>
      </c>
      <c r="K1" s="190" t="s">
        <v>347</v>
      </c>
      <c r="L1" s="189"/>
    </row>
    <row r="2" spans="1:13" s="193" customFormat="1" ht="38.25" x14ac:dyDescent="0.25">
      <c r="A2" s="194">
        <f>ROW()-1</f>
        <v>1</v>
      </c>
      <c r="B2" s="194" t="s">
        <v>635</v>
      </c>
      <c r="C2" s="194">
        <v>4000005848</v>
      </c>
      <c r="D2" s="195" t="s">
        <v>874</v>
      </c>
      <c r="E2" s="194" t="s">
        <v>619</v>
      </c>
      <c r="F2" s="194">
        <v>1</v>
      </c>
      <c r="G2" s="196">
        <f>I2*88*1.3</f>
        <v>814528</v>
      </c>
      <c r="H2" s="186">
        <f>G2*F2</f>
        <v>814528</v>
      </c>
      <c r="I2" s="215">
        <v>7120</v>
      </c>
      <c r="J2" s="215">
        <v>7120</v>
      </c>
      <c r="K2" s="198"/>
      <c r="L2" s="183"/>
      <c r="M2" s="199"/>
    </row>
    <row r="3" spans="1:13" s="193" customFormat="1" ht="38.25" x14ac:dyDescent="0.25">
      <c r="A3" s="194">
        <f t="shared" ref="A3:A8" si="0">ROW()-1</f>
        <v>2</v>
      </c>
      <c r="B3" s="194" t="s">
        <v>635</v>
      </c>
      <c r="C3" s="194">
        <v>4000005849</v>
      </c>
      <c r="D3" s="195" t="s">
        <v>875</v>
      </c>
      <c r="E3" s="194" t="s">
        <v>619</v>
      </c>
      <c r="F3" s="194">
        <v>1</v>
      </c>
      <c r="G3" s="196">
        <f t="shared" ref="G3:G8" si="1">I3*88*1.3</f>
        <v>881443.94366197195</v>
      </c>
      <c r="H3" s="186">
        <f t="shared" ref="H3:H8" si="2">G3*F3</f>
        <v>881443.94366197195</v>
      </c>
      <c r="I3" s="183">
        <v>7704.929577464789</v>
      </c>
      <c r="J3" s="183">
        <v>7704.929577464789</v>
      </c>
      <c r="K3" s="198"/>
      <c r="L3" s="183" t="s">
        <v>921</v>
      </c>
      <c r="M3" s="199"/>
    </row>
    <row r="4" spans="1:13" s="193" customFormat="1" ht="38.25" x14ac:dyDescent="0.25">
      <c r="A4" s="194">
        <f t="shared" si="0"/>
        <v>3</v>
      </c>
      <c r="B4" s="194" t="s">
        <v>635</v>
      </c>
      <c r="C4" s="194">
        <v>4000005850</v>
      </c>
      <c r="D4" s="195" t="s">
        <v>876</v>
      </c>
      <c r="E4" s="194" t="s">
        <v>619</v>
      </c>
      <c r="F4" s="194">
        <v>1</v>
      </c>
      <c r="G4" s="196">
        <f t="shared" si="1"/>
        <v>628684.39436619717</v>
      </c>
      <c r="H4" s="186">
        <f t="shared" si="2"/>
        <v>628684.39436619717</v>
      </c>
      <c r="I4" s="183">
        <v>5495.4929577464791</v>
      </c>
      <c r="J4" s="183">
        <v>5495.4929577464791</v>
      </c>
      <c r="K4" s="198"/>
      <c r="L4" s="183"/>
      <c r="M4" s="199"/>
    </row>
    <row r="5" spans="1:13" s="193" customFormat="1" ht="38.25" x14ac:dyDescent="0.25">
      <c r="A5" s="194">
        <f t="shared" si="0"/>
        <v>4</v>
      </c>
      <c r="B5" s="194" t="s">
        <v>635</v>
      </c>
      <c r="C5" s="194">
        <v>4000005851</v>
      </c>
      <c r="D5" s="195" t="s">
        <v>877</v>
      </c>
      <c r="E5" s="194" t="s">
        <v>619</v>
      </c>
      <c r="F5" s="194">
        <v>1</v>
      </c>
      <c r="G5" s="196">
        <f t="shared" si="1"/>
        <v>632938.14084507048</v>
      </c>
      <c r="H5" s="186">
        <f t="shared" si="2"/>
        <v>632938.14084507048</v>
      </c>
      <c r="I5" s="183">
        <v>5532.6760563380285</v>
      </c>
      <c r="J5" s="183">
        <v>5532.6760563380285</v>
      </c>
      <c r="K5" s="198"/>
      <c r="L5" s="183"/>
      <c r="M5" s="199"/>
    </row>
    <row r="6" spans="1:13" s="193" customFormat="1" ht="42" customHeight="1" x14ac:dyDescent="0.25">
      <c r="A6" s="194">
        <f t="shared" si="0"/>
        <v>5</v>
      </c>
      <c r="B6" s="194" t="s">
        <v>635</v>
      </c>
      <c r="C6" s="194">
        <v>4000005852</v>
      </c>
      <c r="D6" s="195" t="s">
        <v>871</v>
      </c>
      <c r="E6" s="194" t="s">
        <v>619</v>
      </c>
      <c r="F6" s="194">
        <v>1</v>
      </c>
      <c r="G6" s="196">
        <f t="shared" si="1"/>
        <v>690283.15492957749</v>
      </c>
      <c r="H6" s="186">
        <f t="shared" si="2"/>
        <v>690283.15492957749</v>
      </c>
      <c r="I6" s="183">
        <v>6033.9436619718317</v>
      </c>
      <c r="J6" s="183">
        <v>6033.9436619718317</v>
      </c>
      <c r="K6" s="198"/>
      <c r="L6" s="183"/>
      <c r="M6" s="199"/>
    </row>
    <row r="7" spans="1:13" s="193" customFormat="1" ht="39.75" customHeight="1" x14ac:dyDescent="0.25">
      <c r="A7" s="194">
        <f t="shared" si="0"/>
        <v>6</v>
      </c>
      <c r="B7" s="194" t="s">
        <v>635</v>
      </c>
      <c r="C7" s="194">
        <v>4000005853</v>
      </c>
      <c r="D7" s="195" t="s">
        <v>872</v>
      </c>
      <c r="E7" s="194" t="s">
        <v>619</v>
      </c>
      <c r="F7" s="194">
        <v>1</v>
      </c>
      <c r="G7" s="196">
        <f t="shared" si="1"/>
        <v>632938.14084507048</v>
      </c>
      <c r="H7" s="186">
        <f t="shared" si="2"/>
        <v>632938.14084507048</v>
      </c>
      <c r="I7" s="183">
        <v>5532.6760563380285</v>
      </c>
      <c r="J7" s="183">
        <v>5532.6760563380285</v>
      </c>
      <c r="K7" s="198"/>
      <c r="L7" s="183"/>
      <c r="M7" s="199"/>
    </row>
    <row r="8" spans="1:13" s="193" customFormat="1" ht="42" customHeight="1" x14ac:dyDescent="0.25">
      <c r="A8" s="194">
        <f t="shared" si="0"/>
        <v>7</v>
      </c>
      <c r="B8" s="194" t="s">
        <v>635</v>
      </c>
      <c r="C8" s="194">
        <v>4000003259</v>
      </c>
      <c r="D8" s="195" t="s">
        <v>873</v>
      </c>
      <c r="E8" s="194" t="s">
        <v>619</v>
      </c>
      <c r="F8" s="194">
        <v>1</v>
      </c>
      <c r="G8" s="196">
        <f t="shared" si="1"/>
        <v>298406.76056338032</v>
      </c>
      <c r="H8" s="186">
        <f t="shared" si="2"/>
        <v>298406.76056338032</v>
      </c>
      <c r="I8" s="183">
        <v>2608.4507042253522</v>
      </c>
      <c r="J8" s="183">
        <v>2608.4507042253522</v>
      </c>
      <c r="K8" s="198"/>
      <c r="L8" s="183"/>
      <c r="M8" s="199"/>
    </row>
    <row r="9" spans="1:13" s="193" customFormat="1" x14ac:dyDescent="0.25">
      <c r="A9" s="194">
        <f>ROW()-1</f>
        <v>8</v>
      </c>
      <c r="B9" s="200"/>
      <c r="C9" s="353" t="s">
        <v>119</v>
      </c>
      <c r="D9" s="353"/>
      <c r="E9" s="353"/>
      <c r="F9" s="353"/>
      <c r="G9" s="353"/>
      <c r="H9" s="186">
        <f>SUM(H2:H8)</f>
        <v>4579222.5352112679</v>
      </c>
      <c r="I9" s="201"/>
      <c r="J9" s="185"/>
      <c r="K9" s="202"/>
      <c r="L9" s="183"/>
      <c r="M9" s="199"/>
    </row>
    <row r="10" spans="1:13" x14ac:dyDescent="0.25">
      <c r="A10" s="194">
        <f>ROW()-1</f>
        <v>9</v>
      </c>
      <c r="B10" s="194"/>
      <c r="C10" s="353" t="s">
        <v>847</v>
      </c>
      <c r="D10" s="353"/>
      <c r="E10" s="353"/>
      <c r="F10" s="353"/>
      <c r="G10" s="353"/>
      <c r="H10" s="138">
        <f>H9*18%</f>
        <v>824260.05633802817</v>
      </c>
      <c r="I10" s="203"/>
      <c r="J10" s="177"/>
      <c r="K10" s="177"/>
      <c r="L10" s="177"/>
    </row>
    <row r="11" spans="1:13" x14ac:dyDescent="0.25">
      <c r="A11" s="194">
        <f>ROW()-1</f>
        <v>10</v>
      </c>
      <c r="B11" s="194"/>
      <c r="C11" s="353" t="s">
        <v>846</v>
      </c>
      <c r="D11" s="353"/>
      <c r="E11" s="353"/>
      <c r="F11" s="353"/>
      <c r="G11" s="353"/>
      <c r="H11" s="138">
        <f>SUM(H9:H10)</f>
        <v>5403482.5915492959</v>
      </c>
      <c r="I11" s="203"/>
      <c r="J11" s="177"/>
      <c r="K11" s="177"/>
      <c r="L11" s="177"/>
    </row>
    <row r="12" spans="1:13" s="206" customFormat="1" x14ac:dyDescent="0.25">
      <c r="A12" s="354" t="s">
        <v>845</v>
      </c>
      <c r="B12" s="354"/>
      <c r="C12" s="354"/>
      <c r="D12" s="354"/>
      <c r="E12" s="354"/>
      <c r="F12" s="354"/>
      <c r="G12" s="354"/>
      <c r="H12" s="354"/>
      <c r="I12" s="205"/>
      <c r="J12" s="205"/>
      <c r="K12" s="177"/>
    </row>
    <row r="13" spans="1:13" s="206" customFormat="1" ht="141" customHeight="1" x14ac:dyDescent="0.25">
      <c r="A13" s="207" t="s">
        <v>844</v>
      </c>
      <c r="B13" s="355" t="s">
        <v>924</v>
      </c>
      <c r="C13" s="355"/>
      <c r="D13" s="355"/>
      <c r="E13" s="355"/>
      <c r="F13" s="355"/>
      <c r="G13" s="355"/>
      <c r="H13" s="355"/>
      <c r="I13" s="208"/>
      <c r="J13" s="209"/>
      <c r="K13" s="177"/>
    </row>
    <row r="16" spans="1:13" x14ac:dyDescent="0.25">
      <c r="D16" s="206" t="s">
        <v>870</v>
      </c>
    </row>
  </sheetData>
  <mergeCells count="5">
    <mergeCell ref="C9:G9"/>
    <mergeCell ref="C10:G10"/>
    <mergeCell ref="C11:G11"/>
    <mergeCell ref="A12:H12"/>
    <mergeCell ref="B13:H13"/>
  </mergeCells>
  <printOptions horizontalCentered="1"/>
  <pageMargins left="0.25" right="0.25" top="0.75" bottom="0.75" header="0.3" footer="0.3"/>
  <pageSetup scale="105" orientation="landscape" horizontalDpi="4294967292" r:id="rId1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7BCDB-2102-4B6B-839D-A60B51789993}">
  <dimension ref="A1:N10"/>
  <sheetViews>
    <sheetView zoomScaleNormal="100" zoomScaleSheetLayoutView="100" workbookViewId="0">
      <selection activeCell="G4" sqref="G4"/>
    </sheetView>
  </sheetViews>
  <sheetFormatPr defaultColWidth="9.140625" defaultRowHeight="12.75" x14ac:dyDescent="0.2"/>
  <cols>
    <col min="1" max="1" width="5.85546875" style="116" bestFit="1" customWidth="1"/>
    <col min="2" max="2" width="11" style="116" bestFit="1" customWidth="1"/>
    <col min="3" max="3" width="15.5703125" style="116" customWidth="1"/>
    <col min="4" max="4" width="52.42578125" style="116" customWidth="1"/>
    <col min="5" max="5" width="5" style="116" bestFit="1" customWidth="1"/>
    <col min="6" max="6" width="8.7109375" style="116" customWidth="1"/>
    <col min="7" max="7" width="14.5703125" style="116" customWidth="1"/>
    <col min="8" max="8" width="18.5703125" style="116" customWidth="1"/>
    <col min="9" max="9" width="22" style="127" bestFit="1" customWidth="1"/>
    <col min="10" max="10" width="17.140625" style="77" customWidth="1"/>
    <col min="11" max="11" width="12.28515625" style="128" bestFit="1" customWidth="1"/>
    <col min="12" max="12" width="16.5703125" style="116" bestFit="1" customWidth="1"/>
    <col min="13" max="13" width="14" style="116" bestFit="1" customWidth="1"/>
    <col min="14" max="15" width="12.42578125" style="116" bestFit="1" customWidth="1"/>
    <col min="16" max="16384" width="9.140625" style="116"/>
  </cols>
  <sheetData>
    <row r="1" spans="1:14" x14ac:dyDescent="0.2">
      <c r="A1" s="115" t="s">
        <v>0</v>
      </c>
      <c r="B1" s="115" t="s">
        <v>1</v>
      </c>
      <c r="C1" s="115" t="s">
        <v>5</v>
      </c>
      <c r="D1" s="115" t="s">
        <v>2</v>
      </c>
      <c r="E1" s="115" t="s">
        <v>3</v>
      </c>
      <c r="F1" s="115" t="s">
        <v>614</v>
      </c>
      <c r="G1" s="115" t="s">
        <v>615</v>
      </c>
      <c r="H1" s="115" t="s">
        <v>119</v>
      </c>
      <c r="I1" s="115" t="s">
        <v>731</v>
      </c>
      <c r="J1" s="117" t="s">
        <v>730</v>
      </c>
      <c r="K1" s="118" t="s">
        <v>110</v>
      </c>
      <c r="L1" s="116" t="s">
        <v>903</v>
      </c>
      <c r="M1" s="116" t="s">
        <v>808</v>
      </c>
    </row>
    <row r="2" spans="1:14" ht="63.75" x14ac:dyDescent="0.2">
      <c r="A2" s="115"/>
      <c r="B2" s="119">
        <v>100044</v>
      </c>
      <c r="C2" s="115" t="s">
        <v>635</v>
      </c>
      <c r="D2" s="120" t="s">
        <v>880</v>
      </c>
      <c r="E2" s="121" t="s">
        <v>619</v>
      </c>
      <c r="F2" s="121">
        <v>5</v>
      </c>
      <c r="G2" s="115"/>
      <c r="H2" s="115"/>
      <c r="I2" s="153"/>
      <c r="J2" s="117"/>
      <c r="K2" s="118"/>
      <c r="L2" s="211"/>
      <c r="M2" s="126" t="s">
        <v>910</v>
      </c>
    </row>
    <row r="3" spans="1:14" ht="51" x14ac:dyDescent="0.2">
      <c r="A3" s="115"/>
      <c r="B3" s="119">
        <v>100044</v>
      </c>
      <c r="C3" s="115" t="s">
        <v>635</v>
      </c>
      <c r="D3" s="120" t="s">
        <v>881</v>
      </c>
      <c r="E3" s="121" t="s">
        <v>619</v>
      </c>
      <c r="F3" s="121">
        <v>2</v>
      </c>
      <c r="G3" s="115"/>
      <c r="H3" s="115"/>
      <c r="I3" s="153"/>
      <c r="J3" s="117"/>
      <c r="K3" s="118"/>
      <c r="L3" s="211">
        <v>2850</v>
      </c>
      <c r="M3" s="142">
        <v>2180</v>
      </c>
      <c r="N3" s="213" t="s">
        <v>911</v>
      </c>
    </row>
    <row r="4" spans="1:14" ht="51" x14ac:dyDescent="0.2">
      <c r="A4" s="115"/>
      <c r="B4" s="119">
        <v>100044</v>
      </c>
      <c r="C4" s="119" t="s">
        <v>635</v>
      </c>
      <c r="D4" s="120" t="s">
        <v>629</v>
      </c>
      <c r="E4" s="121" t="s">
        <v>619</v>
      </c>
      <c r="F4" s="121">
        <v>1</v>
      </c>
      <c r="G4" s="122">
        <f>93*1.33*K4</f>
        <v>179350.50000000003</v>
      </c>
      <c r="H4" s="122">
        <f t="shared" ref="H4" si="0">G4*F4</f>
        <v>179350.50000000003</v>
      </c>
      <c r="I4" s="153"/>
      <c r="J4" s="117"/>
      <c r="K4" s="133">
        <v>1450</v>
      </c>
    </row>
    <row r="5" spans="1:14" ht="38.25" x14ac:dyDescent="0.2">
      <c r="A5" s="119">
        <f>ROW()-1</f>
        <v>4</v>
      </c>
      <c r="B5" s="119">
        <v>100044</v>
      </c>
      <c r="C5" s="119" t="s">
        <v>635</v>
      </c>
      <c r="D5" s="120" t="s">
        <v>727</v>
      </c>
      <c r="E5" s="121" t="s">
        <v>619</v>
      </c>
      <c r="F5" s="121">
        <v>8</v>
      </c>
      <c r="G5" s="137">
        <f>I5</f>
        <v>94299.999999999985</v>
      </c>
      <c r="H5" s="137">
        <f>G5*F5</f>
        <v>754399.99999999988</v>
      </c>
      <c r="I5" s="139">
        <f>J5*1.15</f>
        <v>94299.999999999985</v>
      </c>
      <c r="J5" s="155">
        <v>82000</v>
      </c>
      <c r="K5" s="134"/>
    </row>
    <row r="6" spans="1:14" ht="38.25" x14ac:dyDescent="0.2">
      <c r="A6" s="119">
        <f>ROW()-1</f>
        <v>5</v>
      </c>
      <c r="B6" s="119">
        <v>100044</v>
      </c>
      <c r="C6" s="119" t="s">
        <v>635</v>
      </c>
      <c r="D6" s="120" t="s">
        <v>728</v>
      </c>
      <c r="E6" s="121" t="s">
        <v>619</v>
      </c>
      <c r="F6" s="121">
        <v>2</v>
      </c>
      <c r="G6" s="137">
        <f t="shared" ref="G6" si="1">I6</f>
        <v>44850</v>
      </c>
      <c r="H6" s="137">
        <f t="shared" ref="H6" si="2">G6*F6</f>
        <v>89700</v>
      </c>
      <c r="I6" s="139">
        <f t="shared" ref="I6" si="3">J6*1.15</f>
        <v>44850</v>
      </c>
      <c r="J6" s="155">
        <v>39000</v>
      </c>
      <c r="K6" s="152"/>
      <c r="L6" s="152"/>
    </row>
    <row r="7" spans="1:14" s="128" customFormat="1" x14ac:dyDescent="0.2">
      <c r="A7" s="119">
        <f t="shared" ref="A7:A9" si="4">ROW()-1</f>
        <v>6</v>
      </c>
      <c r="B7" s="349" t="s">
        <v>7</v>
      </c>
      <c r="C7" s="349"/>
      <c r="D7" s="349"/>
      <c r="E7" s="349"/>
      <c r="F7" s="349"/>
      <c r="G7" s="349"/>
      <c r="H7" s="138">
        <f>SUM(H2:H6)</f>
        <v>1023450.4999999999</v>
      </c>
      <c r="I7" s="127"/>
      <c r="J7" s="77"/>
    </row>
    <row r="8" spans="1:14" s="128" customFormat="1" x14ac:dyDescent="0.2">
      <c r="A8" s="119">
        <f t="shared" si="4"/>
        <v>7</v>
      </c>
      <c r="B8" s="349" t="s">
        <v>649</v>
      </c>
      <c r="C8" s="349"/>
      <c r="D8" s="349"/>
      <c r="E8" s="349"/>
      <c r="F8" s="349"/>
      <c r="G8" s="349"/>
      <c r="H8" s="138">
        <f>H7*18%</f>
        <v>184221.08999999997</v>
      </c>
      <c r="I8" s="127"/>
      <c r="J8" s="77"/>
    </row>
    <row r="9" spans="1:14" s="128" customFormat="1" x14ac:dyDescent="0.2">
      <c r="A9" s="119">
        <f t="shared" si="4"/>
        <v>8</v>
      </c>
      <c r="B9" s="349" t="s">
        <v>8</v>
      </c>
      <c r="C9" s="349"/>
      <c r="D9" s="349"/>
      <c r="E9" s="349"/>
      <c r="F9" s="349"/>
      <c r="G9" s="349"/>
      <c r="H9" s="138">
        <f>H8+H7</f>
        <v>1207671.5899999999</v>
      </c>
      <c r="I9" s="127"/>
      <c r="J9" s="77"/>
    </row>
    <row r="10" spans="1:14" s="128" customFormat="1" ht="147.75" customHeight="1" x14ac:dyDescent="0.2">
      <c r="A10" s="129" t="s">
        <v>9</v>
      </c>
      <c r="B10" s="350" t="s">
        <v>631</v>
      </c>
      <c r="C10" s="350"/>
      <c r="D10" s="350"/>
      <c r="E10" s="350"/>
      <c r="F10" s="350"/>
      <c r="G10" s="350"/>
      <c r="H10" s="350"/>
      <c r="I10" s="127"/>
      <c r="J10" s="127"/>
      <c r="M10" s="130"/>
    </row>
  </sheetData>
  <mergeCells count="4">
    <mergeCell ref="B7:G7"/>
    <mergeCell ref="B8:G8"/>
    <mergeCell ref="B9:G9"/>
    <mergeCell ref="B10:H10"/>
  </mergeCells>
  <pageMargins left="0.23622047244094491" right="0.23622047244094491" top="0.74803149606299213" bottom="0.74803149606299213" header="0.31496062992125984" footer="0.31496062992125984"/>
  <pageSetup orientation="landscape" horizontalDpi="4294967292" r:id="rId1"/>
  <headerFooter>
    <oddHeader>&amp;LCONFIANCE INDIA&amp;CPR 2020017116 (TG Spare )&amp;R9 NOV 2023</oddHeader>
    <oddFooter>Page &amp;P of &amp;N</oddFooter>
  </headerFooter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1BD78-7D6E-4246-86A5-E1736F6B1006}">
  <dimension ref="A1:N29"/>
  <sheetViews>
    <sheetView topLeftCell="A13" zoomScaleNormal="100" workbookViewId="0">
      <selection activeCell="M26" sqref="M26"/>
    </sheetView>
  </sheetViews>
  <sheetFormatPr defaultColWidth="9.140625" defaultRowHeight="12.75" x14ac:dyDescent="0.25"/>
  <cols>
    <col min="1" max="1" width="6.140625" style="210" customWidth="1"/>
    <col min="2" max="2" width="14.5703125" style="210" bestFit="1" customWidth="1"/>
    <col min="3" max="3" width="16.85546875" style="206" customWidth="1"/>
    <col min="4" max="4" width="47.28515625" style="206" customWidth="1"/>
    <col min="5" max="5" width="5.85546875" style="204" bestFit="1" customWidth="1"/>
    <col min="6" max="6" width="5.28515625" style="204" customWidth="1"/>
    <col min="7" max="7" width="13.28515625" style="204" customWidth="1"/>
    <col min="8" max="8" width="13.28515625" style="204" bestFit="1" customWidth="1"/>
    <col min="9" max="9" width="13.28515625" style="204" customWidth="1"/>
    <col min="10" max="10" width="25.7109375" style="204" customWidth="1"/>
    <col min="11" max="11" width="11" style="175" bestFit="1" customWidth="1"/>
    <col min="12" max="12" width="11.7109375" style="175" bestFit="1" customWidth="1"/>
    <col min="13" max="13" width="18.7109375" style="175" bestFit="1" customWidth="1"/>
    <col min="14" max="14" width="13.42578125" style="204" bestFit="1" customWidth="1"/>
    <col min="15" max="15" width="13.7109375" style="204" bestFit="1" customWidth="1"/>
    <col min="16" max="16384" width="9.140625" style="204"/>
  </cols>
  <sheetData>
    <row r="1" spans="1:14" s="193" customFormat="1" x14ac:dyDescent="0.25">
      <c r="A1" s="191" t="s">
        <v>852</v>
      </c>
      <c r="B1" s="191" t="s">
        <v>851</v>
      </c>
      <c r="C1" s="191" t="s">
        <v>850</v>
      </c>
      <c r="D1" s="191" t="s">
        <v>849</v>
      </c>
      <c r="E1" s="191" t="s">
        <v>3</v>
      </c>
      <c r="F1" s="191" t="s">
        <v>848</v>
      </c>
      <c r="G1" s="191" t="s">
        <v>615</v>
      </c>
      <c r="H1" s="191" t="s">
        <v>119</v>
      </c>
      <c r="I1" s="192" t="s">
        <v>864</v>
      </c>
      <c r="J1" s="192" t="s">
        <v>617</v>
      </c>
      <c r="K1" s="190" t="s">
        <v>10</v>
      </c>
      <c r="L1" s="190"/>
      <c r="M1" s="189"/>
    </row>
    <row r="2" spans="1:14" s="193" customFormat="1" ht="25.5" x14ac:dyDescent="0.25">
      <c r="A2" s="194">
        <f>ROW()-1</f>
        <v>1</v>
      </c>
      <c r="B2" s="194" t="s">
        <v>635</v>
      </c>
      <c r="C2" s="194">
        <v>4000003534</v>
      </c>
      <c r="D2" s="195" t="s">
        <v>882</v>
      </c>
      <c r="E2" s="194" t="s">
        <v>619</v>
      </c>
      <c r="F2" s="194">
        <v>3</v>
      </c>
      <c r="G2" s="196">
        <f>90*1.3*I2</f>
        <v>33345</v>
      </c>
      <c r="H2" s="186">
        <f>G2*F2</f>
        <v>100035</v>
      </c>
      <c r="I2" s="214">
        <v>285</v>
      </c>
      <c r="J2" s="214"/>
      <c r="K2" s="214">
        <v>285</v>
      </c>
      <c r="L2" s="198"/>
      <c r="M2" s="183"/>
      <c r="N2" s="199"/>
    </row>
    <row r="3" spans="1:14" s="193" customFormat="1" ht="25.5" x14ac:dyDescent="0.25">
      <c r="A3" s="194">
        <f t="shared" ref="A3:A23" si="0">ROW()-1</f>
        <v>2</v>
      </c>
      <c r="B3" s="194" t="s">
        <v>635</v>
      </c>
      <c r="C3" s="194">
        <v>4000003537</v>
      </c>
      <c r="D3" s="195" t="s">
        <v>883</v>
      </c>
      <c r="E3" s="194" t="s">
        <v>619</v>
      </c>
      <c r="F3" s="194">
        <v>2</v>
      </c>
      <c r="G3" s="196">
        <f t="shared" ref="G3:G22" si="1">90*1.3*I3</f>
        <v>73476</v>
      </c>
      <c r="H3" s="186">
        <f t="shared" ref="H3:H22" si="2">G3*F3</f>
        <v>146952</v>
      </c>
      <c r="I3" s="214">
        <v>628</v>
      </c>
      <c r="J3" s="214"/>
      <c r="K3" s="214">
        <v>628</v>
      </c>
      <c r="L3" s="198"/>
      <c r="M3" s="183"/>
      <c r="N3" s="199"/>
    </row>
    <row r="4" spans="1:14" s="193" customFormat="1" ht="25.5" x14ac:dyDescent="0.25">
      <c r="A4" s="194">
        <f t="shared" si="0"/>
        <v>3</v>
      </c>
      <c r="B4" s="194" t="s">
        <v>635</v>
      </c>
      <c r="C4" s="194">
        <v>4000003551</v>
      </c>
      <c r="D4" s="195" t="s">
        <v>884</v>
      </c>
      <c r="E4" s="194" t="s">
        <v>619</v>
      </c>
      <c r="F4" s="194">
        <v>3</v>
      </c>
      <c r="G4" s="196">
        <f t="shared" si="1"/>
        <v>117000</v>
      </c>
      <c r="H4" s="186">
        <f t="shared" si="2"/>
        <v>351000</v>
      </c>
      <c r="I4" s="197">
        <v>1000</v>
      </c>
      <c r="J4" s="214" t="s">
        <v>923</v>
      </c>
      <c r="K4" s="214">
        <v>1474</v>
      </c>
      <c r="L4" s="214" t="s">
        <v>917</v>
      </c>
      <c r="M4" s="183"/>
      <c r="N4" s="199"/>
    </row>
    <row r="5" spans="1:14" s="193" customFormat="1" ht="30" x14ac:dyDescent="0.25">
      <c r="A5" s="194">
        <f t="shared" si="0"/>
        <v>4</v>
      </c>
      <c r="B5" s="194" t="s">
        <v>635</v>
      </c>
      <c r="C5" s="194">
        <v>4000003552</v>
      </c>
      <c r="D5" s="195" t="s">
        <v>885</v>
      </c>
      <c r="E5" s="194" t="s">
        <v>619</v>
      </c>
      <c r="F5" s="194">
        <v>2</v>
      </c>
      <c r="G5" s="196">
        <f t="shared" si="1"/>
        <v>46800</v>
      </c>
      <c r="H5" s="186">
        <f t="shared" si="2"/>
        <v>93600</v>
      </c>
      <c r="I5" s="197">
        <v>400</v>
      </c>
      <c r="J5" s="216" t="s">
        <v>925</v>
      </c>
      <c r="K5" s="214">
        <v>530</v>
      </c>
      <c r="L5" s="214" t="s">
        <v>918</v>
      </c>
      <c r="M5" s="183"/>
      <c r="N5" s="199"/>
    </row>
    <row r="6" spans="1:14" s="193" customFormat="1" ht="25.5" x14ac:dyDescent="0.25">
      <c r="A6" s="194">
        <f t="shared" si="0"/>
        <v>5</v>
      </c>
      <c r="B6" s="194" t="s">
        <v>635</v>
      </c>
      <c r="C6" s="194">
        <v>4000003602</v>
      </c>
      <c r="D6" s="195" t="s">
        <v>886</v>
      </c>
      <c r="E6" s="194" t="s">
        <v>619</v>
      </c>
      <c r="F6" s="194">
        <v>6</v>
      </c>
      <c r="G6" s="196">
        <f t="shared" si="1"/>
        <v>11700</v>
      </c>
      <c r="H6" s="186">
        <f t="shared" si="2"/>
        <v>70200</v>
      </c>
      <c r="I6" s="214">
        <v>100</v>
      </c>
      <c r="J6" s="214"/>
      <c r="K6" s="214">
        <v>100</v>
      </c>
      <c r="L6" s="198"/>
      <c r="M6" s="183"/>
      <c r="N6" s="199"/>
    </row>
    <row r="7" spans="1:14" s="193" customFormat="1" ht="25.5" x14ac:dyDescent="0.25">
      <c r="A7" s="194">
        <f t="shared" si="0"/>
        <v>6</v>
      </c>
      <c r="B7" s="194" t="s">
        <v>635</v>
      </c>
      <c r="C7" s="194">
        <v>4000003603</v>
      </c>
      <c r="D7" s="195" t="s">
        <v>887</v>
      </c>
      <c r="E7" s="194" t="s">
        <v>619</v>
      </c>
      <c r="F7" s="194">
        <v>6</v>
      </c>
      <c r="G7" s="196">
        <f t="shared" si="1"/>
        <v>6084</v>
      </c>
      <c r="H7" s="186">
        <f t="shared" si="2"/>
        <v>36504</v>
      </c>
      <c r="I7" s="214">
        <v>52</v>
      </c>
      <c r="J7" s="214"/>
      <c r="K7" s="214">
        <v>52</v>
      </c>
      <c r="L7" s="198"/>
      <c r="M7" s="183"/>
      <c r="N7" s="199"/>
    </row>
    <row r="8" spans="1:14" s="193" customFormat="1" ht="25.5" x14ac:dyDescent="0.25">
      <c r="A8" s="194">
        <f t="shared" si="0"/>
        <v>7</v>
      </c>
      <c r="B8" s="194" t="s">
        <v>635</v>
      </c>
      <c r="C8" s="194">
        <v>4000003604</v>
      </c>
      <c r="D8" s="195" t="s">
        <v>888</v>
      </c>
      <c r="E8" s="194" t="s">
        <v>619</v>
      </c>
      <c r="F8" s="194">
        <v>6</v>
      </c>
      <c r="G8" s="196">
        <f t="shared" si="1"/>
        <v>16380</v>
      </c>
      <c r="H8" s="186">
        <f t="shared" si="2"/>
        <v>98280</v>
      </c>
      <c r="I8" s="214">
        <v>140</v>
      </c>
      <c r="J8" s="214"/>
      <c r="K8" s="214">
        <v>140</v>
      </c>
      <c r="L8" s="198"/>
      <c r="M8" s="183"/>
      <c r="N8" s="199"/>
    </row>
    <row r="9" spans="1:14" s="193" customFormat="1" ht="25.5" x14ac:dyDescent="0.25">
      <c r="A9" s="194">
        <f t="shared" si="0"/>
        <v>8</v>
      </c>
      <c r="B9" s="194" t="s">
        <v>635</v>
      </c>
      <c r="C9" s="194">
        <v>4000003529</v>
      </c>
      <c r="D9" s="195" t="s">
        <v>889</v>
      </c>
      <c r="E9" s="194" t="s">
        <v>619</v>
      </c>
      <c r="F9" s="194">
        <v>1</v>
      </c>
      <c r="G9" s="196">
        <f t="shared" si="1"/>
        <v>38376</v>
      </c>
      <c r="H9" s="186">
        <f t="shared" si="2"/>
        <v>38376</v>
      </c>
      <c r="I9" s="214">
        <v>328</v>
      </c>
      <c r="J9" s="214"/>
      <c r="K9" s="214">
        <v>328</v>
      </c>
      <c r="L9" s="198"/>
      <c r="M9" s="183"/>
      <c r="N9" s="199"/>
    </row>
    <row r="10" spans="1:14" s="193" customFormat="1" ht="25.5" x14ac:dyDescent="0.25">
      <c r="A10" s="194">
        <f t="shared" si="0"/>
        <v>9</v>
      </c>
      <c r="B10" s="194" t="s">
        <v>635</v>
      </c>
      <c r="C10" s="194">
        <v>4000003590</v>
      </c>
      <c r="D10" s="195" t="s">
        <v>890</v>
      </c>
      <c r="E10" s="194" t="s">
        <v>619</v>
      </c>
      <c r="F10" s="194">
        <v>8</v>
      </c>
      <c r="G10" s="196">
        <f t="shared" si="1"/>
        <v>12870</v>
      </c>
      <c r="H10" s="186">
        <f t="shared" si="2"/>
        <v>102960</v>
      </c>
      <c r="I10" s="214">
        <v>110</v>
      </c>
      <c r="J10" s="214"/>
      <c r="K10" s="214">
        <v>110</v>
      </c>
      <c r="L10" s="198"/>
      <c r="M10" s="183"/>
      <c r="N10" s="199"/>
    </row>
    <row r="11" spans="1:14" s="193" customFormat="1" ht="25.5" x14ac:dyDescent="0.25">
      <c r="A11" s="194">
        <f t="shared" si="0"/>
        <v>10</v>
      </c>
      <c r="B11" s="194" t="s">
        <v>635</v>
      </c>
      <c r="C11" s="194">
        <v>4000003591</v>
      </c>
      <c r="D11" s="195" t="s">
        <v>891</v>
      </c>
      <c r="E11" s="194" t="s">
        <v>619</v>
      </c>
      <c r="F11" s="194">
        <v>8</v>
      </c>
      <c r="G11" s="196">
        <f t="shared" si="1"/>
        <v>11700</v>
      </c>
      <c r="H11" s="186">
        <f t="shared" si="2"/>
        <v>93600</v>
      </c>
      <c r="I11" s="214">
        <v>100</v>
      </c>
      <c r="J11" s="214"/>
      <c r="K11" s="214">
        <v>100</v>
      </c>
      <c r="L11" s="198"/>
      <c r="M11" s="183"/>
      <c r="N11" s="199"/>
    </row>
    <row r="12" spans="1:14" s="193" customFormat="1" ht="25.5" x14ac:dyDescent="0.25">
      <c r="A12" s="194">
        <f t="shared" si="0"/>
        <v>11</v>
      </c>
      <c r="B12" s="194" t="s">
        <v>635</v>
      </c>
      <c r="C12" s="194">
        <v>4000014031</v>
      </c>
      <c r="D12" s="195" t="s">
        <v>892</v>
      </c>
      <c r="E12" s="194" t="s">
        <v>619</v>
      </c>
      <c r="F12" s="194">
        <v>3</v>
      </c>
      <c r="G12" s="196">
        <f t="shared" si="1"/>
        <v>1170</v>
      </c>
      <c r="H12" s="186">
        <f t="shared" si="2"/>
        <v>3510</v>
      </c>
      <c r="I12" s="214">
        <v>10</v>
      </c>
      <c r="J12" s="214"/>
      <c r="K12" s="214">
        <v>10</v>
      </c>
      <c r="L12" s="198"/>
      <c r="M12" s="183"/>
      <c r="N12" s="199"/>
    </row>
    <row r="13" spans="1:14" s="193" customFormat="1" ht="25.5" x14ac:dyDescent="0.25">
      <c r="A13" s="194">
        <f t="shared" si="0"/>
        <v>12</v>
      </c>
      <c r="B13" s="194" t="s">
        <v>635</v>
      </c>
      <c r="C13" s="194">
        <v>4000014033</v>
      </c>
      <c r="D13" s="195" t="s">
        <v>893</v>
      </c>
      <c r="E13" s="194" t="s">
        <v>619</v>
      </c>
      <c r="F13" s="194">
        <v>6</v>
      </c>
      <c r="G13" s="196">
        <f t="shared" si="1"/>
        <v>1170</v>
      </c>
      <c r="H13" s="186">
        <f t="shared" si="2"/>
        <v>7020</v>
      </c>
      <c r="I13" s="214">
        <v>10</v>
      </c>
      <c r="J13" s="214"/>
      <c r="K13" s="214">
        <v>10</v>
      </c>
      <c r="L13" s="198"/>
      <c r="M13" s="183"/>
      <c r="N13" s="199"/>
    </row>
    <row r="14" spans="1:14" s="193" customFormat="1" ht="25.5" x14ac:dyDescent="0.25">
      <c r="A14" s="194">
        <f t="shared" si="0"/>
        <v>13</v>
      </c>
      <c r="B14" s="194" t="s">
        <v>635</v>
      </c>
      <c r="C14" s="194">
        <v>4000014034</v>
      </c>
      <c r="D14" s="195" t="s">
        <v>894</v>
      </c>
      <c r="E14" s="194" t="s">
        <v>619</v>
      </c>
      <c r="F14" s="194">
        <v>6</v>
      </c>
      <c r="G14" s="196">
        <f t="shared" si="1"/>
        <v>2340</v>
      </c>
      <c r="H14" s="186">
        <f t="shared" si="2"/>
        <v>14040</v>
      </c>
      <c r="I14" s="214">
        <v>20</v>
      </c>
      <c r="J14" s="214"/>
      <c r="K14" s="214">
        <v>20</v>
      </c>
      <c r="L14" s="198"/>
      <c r="M14" s="183"/>
      <c r="N14" s="199"/>
    </row>
    <row r="15" spans="1:14" s="193" customFormat="1" ht="25.5" x14ac:dyDescent="0.25">
      <c r="A15" s="194">
        <f t="shared" si="0"/>
        <v>14</v>
      </c>
      <c r="B15" s="194" t="s">
        <v>635</v>
      </c>
      <c r="C15" s="194">
        <v>4000003560</v>
      </c>
      <c r="D15" s="195" t="s">
        <v>895</v>
      </c>
      <c r="E15" s="194" t="s">
        <v>619</v>
      </c>
      <c r="F15" s="194">
        <v>6</v>
      </c>
      <c r="G15" s="196">
        <f t="shared" si="1"/>
        <v>1872</v>
      </c>
      <c r="H15" s="186">
        <f t="shared" si="2"/>
        <v>11232</v>
      </c>
      <c r="I15" s="214">
        <v>16</v>
      </c>
      <c r="J15" s="214"/>
      <c r="K15" s="214">
        <v>16</v>
      </c>
      <c r="L15" s="198"/>
      <c r="M15" s="183"/>
      <c r="N15" s="199"/>
    </row>
    <row r="16" spans="1:14" s="193" customFormat="1" ht="25.5" x14ac:dyDescent="0.25">
      <c r="A16" s="194">
        <f t="shared" si="0"/>
        <v>15</v>
      </c>
      <c r="B16" s="194" t="s">
        <v>635</v>
      </c>
      <c r="C16" s="194">
        <v>4000003561</v>
      </c>
      <c r="D16" s="195" t="s">
        <v>896</v>
      </c>
      <c r="E16" s="194" t="s">
        <v>619</v>
      </c>
      <c r="F16" s="194">
        <v>6</v>
      </c>
      <c r="G16" s="196">
        <f t="shared" si="1"/>
        <v>1872</v>
      </c>
      <c r="H16" s="186">
        <f t="shared" si="2"/>
        <v>11232</v>
      </c>
      <c r="I16" s="214">
        <v>16</v>
      </c>
      <c r="J16" s="214"/>
      <c r="K16" s="214">
        <v>16</v>
      </c>
      <c r="L16" s="198"/>
      <c r="M16" s="183"/>
      <c r="N16" s="199"/>
    </row>
    <row r="17" spans="1:14" s="193" customFormat="1" ht="15" x14ac:dyDescent="0.25">
      <c r="A17" s="194">
        <f t="shared" si="0"/>
        <v>16</v>
      </c>
      <c r="B17" s="194" t="s">
        <v>635</v>
      </c>
      <c r="C17" s="194">
        <v>4000014037</v>
      </c>
      <c r="D17" s="195" t="s">
        <v>897</v>
      </c>
      <c r="E17" s="194" t="s">
        <v>619</v>
      </c>
      <c r="F17" s="194">
        <v>18</v>
      </c>
      <c r="G17" s="196">
        <f t="shared" si="1"/>
        <v>234</v>
      </c>
      <c r="H17" s="186">
        <f t="shared" si="2"/>
        <v>4212</v>
      </c>
      <c r="I17" s="214">
        <v>2</v>
      </c>
      <c r="J17" s="214"/>
      <c r="K17" s="214">
        <v>2</v>
      </c>
      <c r="L17" s="198"/>
      <c r="M17" s="183"/>
      <c r="N17" s="199"/>
    </row>
    <row r="18" spans="1:14" s="193" customFormat="1" ht="15" x14ac:dyDescent="0.25">
      <c r="A18" s="194">
        <f t="shared" si="0"/>
        <v>17</v>
      </c>
      <c r="B18" s="194" t="s">
        <v>635</v>
      </c>
      <c r="C18" s="194">
        <v>4000014038</v>
      </c>
      <c r="D18" s="195" t="s">
        <v>898</v>
      </c>
      <c r="E18" s="194" t="s">
        <v>619</v>
      </c>
      <c r="F18" s="194">
        <v>6</v>
      </c>
      <c r="G18" s="196">
        <f t="shared" si="1"/>
        <v>2574</v>
      </c>
      <c r="H18" s="186">
        <f t="shared" si="2"/>
        <v>15444</v>
      </c>
      <c r="I18" s="214">
        <v>22</v>
      </c>
      <c r="J18" s="214"/>
      <c r="K18" s="214">
        <v>22</v>
      </c>
      <c r="L18" s="198"/>
      <c r="M18" s="183"/>
      <c r="N18" s="199"/>
    </row>
    <row r="19" spans="1:14" s="193" customFormat="1" ht="75" x14ac:dyDescent="0.25">
      <c r="A19" s="194">
        <f t="shared" si="0"/>
        <v>18</v>
      </c>
      <c r="B19" s="194" t="s">
        <v>635</v>
      </c>
      <c r="C19" s="194">
        <v>4000003563</v>
      </c>
      <c r="D19" s="195" t="s">
        <v>899</v>
      </c>
      <c r="E19" s="194" t="s">
        <v>619</v>
      </c>
      <c r="F19" s="194">
        <v>6</v>
      </c>
      <c r="G19" s="196">
        <f t="shared" si="1"/>
        <v>0</v>
      </c>
      <c r="H19" s="186">
        <f t="shared" si="2"/>
        <v>0</v>
      </c>
      <c r="I19" s="214"/>
      <c r="J19" s="216" t="s">
        <v>922</v>
      </c>
      <c r="K19" s="214">
        <v>80</v>
      </c>
      <c r="L19" s="214" t="s">
        <v>920</v>
      </c>
      <c r="M19" s="183"/>
      <c r="N19" s="199"/>
    </row>
    <row r="20" spans="1:14" s="193" customFormat="1" ht="15" x14ac:dyDescent="0.25">
      <c r="A20" s="194">
        <f t="shared" si="0"/>
        <v>19</v>
      </c>
      <c r="B20" s="194" t="s">
        <v>635</v>
      </c>
      <c r="C20" s="194">
        <v>4000014039</v>
      </c>
      <c r="D20" s="195" t="s">
        <v>900</v>
      </c>
      <c r="E20" s="194" t="s">
        <v>619</v>
      </c>
      <c r="F20" s="194">
        <v>6</v>
      </c>
      <c r="G20" s="196">
        <f t="shared" si="1"/>
        <v>3276</v>
      </c>
      <c r="H20" s="186">
        <f t="shared" si="2"/>
        <v>19656</v>
      </c>
      <c r="I20" s="214">
        <v>28</v>
      </c>
      <c r="J20" s="214"/>
      <c r="K20" s="214">
        <v>28</v>
      </c>
      <c r="L20" s="198"/>
      <c r="M20" s="183"/>
      <c r="N20" s="199" t="s">
        <v>919</v>
      </c>
    </row>
    <row r="21" spans="1:14" s="193" customFormat="1" ht="25.5" x14ac:dyDescent="0.25">
      <c r="A21" s="194">
        <f t="shared" si="0"/>
        <v>20</v>
      </c>
      <c r="B21" s="194" t="s">
        <v>635</v>
      </c>
      <c r="C21" s="194">
        <v>4000003612</v>
      </c>
      <c r="D21" s="195" t="s">
        <v>901</v>
      </c>
      <c r="E21" s="194" t="s">
        <v>619</v>
      </c>
      <c r="F21" s="194">
        <v>4</v>
      </c>
      <c r="G21" s="196">
        <f t="shared" si="1"/>
        <v>7605</v>
      </c>
      <c r="H21" s="186">
        <f t="shared" si="2"/>
        <v>30420</v>
      </c>
      <c r="I21" s="214">
        <v>65</v>
      </c>
      <c r="J21" s="214"/>
      <c r="K21" s="214">
        <v>65</v>
      </c>
      <c r="L21" s="198"/>
      <c r="M21" s="183"/>
      <c r="N21" s="199"/>
    </row>
    <row r="22" spans="1:14" s="193" customFormat="1" ht="15" x14ac:dyDescent="0.25">
      <c r="A22" s="194">
        <f t="shared" si="0"/>
        <v>21</v>
      </c>
      <c r="B22" s="194" t="s">
        <v>635</v>
      </c>
      <c r="C22" s="194">
        <v>4000014053</v>
      </c>
      <c r="D22" s="195" t="s">
        <v>902</v>
      </c>
      <c r="E22" s="194" t="s">
        <v>619</v>
      </c>
      <c r="F22" s="194">
        <v>3</v>
      </c>
      <c r="G22" s="196">
        <f t="shared" si="1"/>
        <v>20475</v>
      </c>
      <c r="H22" s="186">
        <f t="shared" si="2"/>
        <v>61425</v>
      </c>
      <c r="I22" s="214">
        <v>175</v>
      </c>
      <c r="J22" s="214"/>
      <c r="K22" s="214">
        <v>175</v>
      </c>
      <c r="L22" s="198"/>
      <c r="M22" s="183"/>
      <c r="N22" s="199"/>
    </row>
    <row r="23" spans="1:14" s="193" customFormat="1" x14ac:dyDescent="0.25">
      <c r="A23" s="194">
        <f t="shared" si="0"/>
        <v>22</v>
      </c>
      <c r="B23" s="194" t="s">
        <v>635</v>
      </c>
      <c r="C23" s="353" t="s">
        <v>119</v>
      </c>
      <c r="D23" s="353"/>
      <c r="E23" s="353"/>
      <c r="F23" s="353"/>
      <c r="G23" s="353"/>
      <c r="H23" s="186">
        <f>SUM(H2:H22)</f>
        <v>1309698</v>
      </c>
      <c r="I23" s="201"/>
      <c r="J23" s="201"/>
      <c r="K23" s="185"/>
      <c r="L23" s="202"/>
      <c r="M23" s="183"/>
      <c r="N23" s="199"/>
    </row>
    <row r="24" spans="1:14" x14ac:dyDescent="0.25">
      <c r="A24" s="194">
        <f>ROW()-1</f>
        <v>23</v>
      </c>
      <c r="B24" s="194" t="s">
        <v>635</v>
      </c>
      <c r="C24" s="353" t="s">
        <v>847</v>
      </c>
      <c r="D24" s="353"/>
      <c r="E24" s="353"/>
      <c r="F24" s="353"/>
      <c r="G24" s="353"/>
      <c r="H24" s="138">
        <f>H23*18%</f>
        <v>235745.63999999998</v>
      </c>
      <c r="I24" s="203"/>
      <c r="J24" s="203"/>
      <c r="K24" s="177"/>
      <c r="L24" s="177"/>
      <c r="M24" s="177"/>
    </row>
    <row r="25" spans="1:14" x14ac:dyDescent="0.25">
      <c r="A25" s="194">
        <f>ROW()-1</f>
        <v>24</v>
      </c>
      <c r="B25" s="194" t="s">
        <v>635</v>
      </c>
      <c r="C25" s="353" t="s">
        <v>846</v>
      </c>
      <c r="D25" s="353"/>
      <c r="E25" s="353"/>
      <c r="F25" s="353"/>
      <c r="G25" s="353"/>
      <c r="H25" s="138">
        <f>SUM(H23:H24)</f>
        <v>1545443.64</v>
      </c>
      <c r="I25" s="203"/>
      <c r="J25" s="203"/>
      <c r="K25" s="177"/>
      <c r="L25" s="177"/>
      <c r="M25" s="177"/>
    </row>
    <row r="26" spans="1:14" s="206" customFormat="1" ht="141" customHeight="1" x14ac:dyDescent="0.25">
      <c r="A26" s="207" t="s">
        <v>844</v>
      </c>
      <c r="B26" s="355" t="s">
        <v>924</v>
      </c>
      <c r="C26" s="355"/>
      <c r="D26" s="355"/>
      <c r="E26" s="355"/>
      <c r="F26" s="355"/>
      <c r="G26" s="355"/>
      <c r="H26" s="355"/>
      <c r="I26" s="208"/>
      <c r="J26" s="208"/>
      <c r="K26" s="209"/>
      <c r="L26" s="177"/>
    </row>
    <row r="29" spans="1:14" x14ac:dyDescent="0.25">
      <c r="D29" s="206" t="s">
        <v>870</v>
      </c>
    </row>
  </sheetData>
  <mergeCells count="4">
    <mergeCell ref="C23:G23"/>
    <mergeCell ref="C24:G24"/>
    <mergeCell ref="C25:G25"/>
    <mergeCell ref="B26:H26"/>
  </mergeCells>
  <printOptions horizontalCentered="1"/>
  <pageMargins left="0.25" right="0.25" top="0.75" bottom="0.75" header="0.3" footer="0.3"/>
  <pageSetup scale="105" orientation="landscape" horizontalDpi="4294967292" r:id="rId1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43754-C506-45E5-8BC0-9AFA93F2E35C}">
  <dimension ref="A1:M7"/>
  <sheetViews>
    <sheetView zoomScaleNormal="100" zoomScaleSheetLayoutView="100" workbookViewId="0">
      <selection activeCell="G2" sqref="G2"/>
    </sheetView>
  </sheetViews>
  <sheetFormatPr defaultColWidth="9.140625" defaultRowHeight="12.75" x14ac:dyDescent="0.2"/>
  <cols>
    <col min="1" max="1" width="5.85546875" style="116" bestFit="1" customWidth="1"/>
    <col min="2" max="2" width="11" style="116" bestFit="1" customWidth="1"/>
    <col min="3" max="3" width="15.5703125" style="116" customWidth="1"/>
    <col min="4" max="4" width="52.42578125" style="116" customWidth="1"/>
    <col min="5" max="5" width="5" style="116" bestFit="1" customWidth="1"/>
    <col min="6" max="6" width="8.7109375" style="116" customWidth="1"/>
    <col min="7" max="7" width="14.5703125" style="116" customWidth="1"/>
    <col min="8" max="8" width="18.5703125" style="116" customWidth="1"/>
    <col min="9" max="9" width="22" style="127" bestFit="1" customWidth="1"/>
    <col min="10" max="10" width="17.140625" style="77" customWidth="1"/>
    <col min="11" max="11" width="12.28515625" style="128" bestFit="1" customWidth="1"/>
    <col min="12" max="12" width="16.5703125" style="116" bestFit="1" customWidth="1"/>
    <col min="13" max="13" width="14" style="116" bestFit="1" customWidth="1"/>
    <col min="14" max="15" width="12.42578125" style="116" bestFit="1" customWidth="1"/>
    <col min="16" max="16384" width="9.140625" style="116"/>
  </cols>
  <sheetData>
    <row r="1" spans="1:13" x14ac:dyDescent="0.2">
      <c r="A1" s="115" t="s">
        <v>0</v>
      </c>
      <c r="B1" s="115" t="s">
        <v>1</v>
      </c>
      <c r="C1" s="115" t="s">
        <v>5</v>
      </c>
      <c r="D1" s="115" t="s">
        <v>2</v>
      </c>
      <c r="E1" s="115" t="s">
        <v>3</v>
      </c>
      <c r="F1" s="115" t="s">
        <v>614</v>
      </c>
      <c r="G1" s="115" t="s">
        <v>615</v>
      </c>
      <c r="H1" s="115" t="s">
        <v>119</v>
      </c>
      <c r="I1" s="115" t="s">
        <v>17</v>
      </c>
      <c r="J1" s="134" t="s">
        <v>10</v>
      </c>
      <c r="K1" s="118" t="s">
        <v>908</v>
      </c>
    </row>
    <row r="2" spans="1:13" ht="153" x14ac:dyDescent="0.2">
      <c r="A2" s="115">
        <f>ROW()-1</f>
        <v>1</v>
      </c>
      <c r="B2" s="119">
        <v>100393</v>
      </c>
      <c r="C2" s="115"/>
      <c r="D2" s="120" t="s">
        <v>904</v>
      </c>
      <c r="E2" s="121" t="s">
        <v>4</v>
      </c>
      <c r="F2" s="121">
        <v>1</v>
      </c>
      <c r="G2" s="212">
        <f>93*1.33*I2</f>
        <v>98952.000000000015</v>
      </c>
      <c r="H2" s="212">
        <f>G2*F2</f>
        <v>98952.000000000015</v>
      </c>
      <c r="I2" s="173">
        <v>800</v>
      </c>
      <c r="J2" s="141">
        <v>675</v>
      </c>
      <c r="K2" s="117" t="s">
        <v>907</v>
      </c>
      <c r="L2" s="211"/>
    </row>
    <row r="3" spans="1:13" ht="127.5" x14ac:dyDescent="0.2">
      <c r="A3" s="115">
        <f t="shared" ref="A3" si="0">ROW()-1</f>
        <v>2</v>
      </c>
      <c r="B3" s="119">
        <v>100393</v>
      </c>
      <c r="C3" s="115"/>
      <c r="D3" s="120" t="s">
        <v>905</v>
      </c>
      <c r="E3" s="121" t="s">
        <v>4</v>
      </c>
      <c r="F3" s="121">
        <v>1</v>
      </c>
      <c r="G3" s="212">
        <f>93*1.33*I3</f>
        <v>98952.000000000015</v>
      </c>
      <c r="H3" s="212">
        <f>G3*F3</f>
        <v>98952.000000000015</v>
      </c>
      <c r="I3" s="173">
        <v>800</v>
      </c>
      <c r="J3" s="141">
        <v>675</v>
      </c>
      <c r="K3" s="117" t="s">
        <v>907</v>
      </c>
      <c r="L3" s="211"/>
    </row>
    <row r="4" spans="1:13" s="128" customFormat="1" x14ac:dyDescent="0.2">
      <c r="A4" s="119">
        <f t="shared" ref="A4:A6" si="1">ROW()-1</f>
        <v>3</v>
      </c>
      <c r="B4" s="349" t="s">
        <v>7</v>
      </c>
      <c r="C4" s="349"/>
      <c r="D4" s="349"/>
      <c r="E4" s="349"/>
      <c r="F4" s="349"/>
      <c r="G4" s="349"/>
      <c r="H4" s="138">
        <f>SUM(H2:H3)</f>
        <v>197904.00000000003</v>
      </c>
      <c r="I4" s="127"/>
      <c r="J4" s="77"/>
    </row>
    <row r="5" spans="1:13" s="128" customFormat="1" x14ac:dyDescent="0.2">
      <c r="A5" s="119">
        <f t="shared" si="1"/>
        <v>4</v>
      </c>
      <c r="B5" s="349" t="s">
        <v>649</v>
      </c>
      <c r="C5" s="349"/>
      <c r="D5" s="349"/>
      <c r="E5" s="349"/>
      <c r="F5" s="349"/>
      <c r="G5" s="349"/>
      <c r="H5" s="138">
        <f>H4*18%</f>
        <v>35622.720000000001</v>
      </c>
      <c r="I5" s="127"/>
      <c r="J5" s="77"/>
    </row>
    <row r="6" spans="1:13" s="128" customFormat="1" x14ac:dyDescent="0.2">
      <c r="A6" s="119">
        <f t="shared" si="1"/>
        <v>5</v>
      </c>
      <c r="B6" s="349" t="s">
        <v>8</v>
      </c>
      <c r="C6" s="349"/>
      <c r="D6" s="349"/>
      <c r="E6" s="349"/>
      <c r="F6" s="349"/>
      <c r="G6" s="349"/>
      <c r="H6" s="138">
        <f>H5+H4</f>
        <v>233526.72000000003</v>
      </c>
      <c r="I6" s="127"/>
      <c r="J6" s="77"/>
    </row>
    <row r="7" spans="1:13" s="128" customFormat="1" ht="147.75" customHeight="1" x14ac:dyDescent="0.2">
      <c r="A7" s="129" t="s">
        <v>9</v>
      </c>
      <c r="B7" s="350" t="s">
        <v>909</v>
      </c>
      <c r="C7" s="350"/>
      <c r="D7" s="350"/>
      <c r="E7" s="350"/>
      <c r="F7" s="350"/>
      <c r="G7" s="350"/>
      <c r="H7" s="350"/>
      <c r="I7" s="127"/>
      <c r="J7" s="127"/>
      <c r="M7" s="130"/>
    </row>
  </sheetData>
  <mergeCells count="4">
    <mergeCell ref="B4:G4"/>
    <mergeCell ref="B5:G5"/>
    <mergeCell ref="B6:G6"/>
    <mergeCell ref="B7:H7"/>
  </mergeCells>
  <pageMargins left="0.23622047244094491" right="0.23622047244094491" top="0.74803149606299213" bottom="0.74803149606299213" header="0.31496062992125984" footer="0.31496062992125984"/>
  <pageSetup orientation="landscape" horizontalDpi="4294967292" r:id="rId1"/>
  <headerFooter>
    <oddHeader>&amp;LCONFIANCE INDIA&amp;CPR 2020017116 (TG Spare )&amp;R9 NOV 2023</oddHeader>
    <oddFooter>Page &amp;P of &amp;N</oddFooter>
  </headerFooter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2B2E3-62FE-4A00-98F2-E05A045B3017}">
  <dimension ref="A1:M10"/>
  <sheetViews>
    <sheetView zoomScaleNormal="100" zoomScaleSheetLayoutView="100" workbookViewId="0">
      <selection activeCell="L5" sqref="L5"/>
    </sheetView>
  </sheetViews>
  <sheetFormatPr defaultColWidth="9.140625" defaultRowHeight="12.75" x14ac:dyDescent="0.2"/>
  <cols>
    <col min="1" max="1" width="5.85546875" style="116" bestFit="1" customWidth="1"/>
    <col min="2" max="2" width="11" style="116" bestFit="1" customWidth="1"/>
    <col min="3" max="3" width="15.5703125" style="116" customWidth="1"/>
    <col min="4" max="4" width="52.42578125" style="116" customWidth="1"/>
    <col min="5" max="5" width="5" style="116" bestFit="1" customWidth="1"/>
    <col min="6" max="6" width="8.7109375" style="116" customWidth="1"/>
    <col min="7" max="7" width="14.5703125" style="116" customWidth="1"/>
    <col min="8" max="8" width="18.5703125" style="116" customWidth="1"/>
    <col min="9" max="9" width="22" style="127" bestFit="1" customWidth="1"/>
    <col min="10" max="10" width="17.140625" style="77" customWidth="1"/>
    <col min="11" max="11" width="12.28515625" style="128" bestFit="1" customWidth="1"/>
    <col min="12" max="12" width="16.5703125" style="116" bestFit="1" customWidth="1"/>
    <col min="13" max="13" width="14" style="116" bestFit="1" customWidth="1"/>
    <col min="14" max="15" width="12.42578125" style="116" bestFit="1" customWidth="1"/>
    <col min="16" max="16384" width="9.140625" style="116"/>
  </cols>
  <sheetData>
    <row r="1" spans="1:13" x14ac:dyDescent="0.2">
      <c r="A1" s="115" t="s">
        <v>0</v>
      </c>
      <c r="B1" s="115" t="s">
        <v>1</v>
      </c>
      <c r="C1" s="115" t="s">
        <v>5</v>
      </c>
      <c r="D1" s="115" t="s">
        <v>2</v>
      </c>
      <c r="E1" s="115" t="s">
        <v>3</v>
      </c>
      <c r="F1" s="115" t="s">
        <v>614</v>
      </c>
      <c r="G1" s="115" t="s">
        <v>615</v>
      </c>
      <c r="H1" s="115" t="s">
        <v>119</v>
      </c>
      <c r="I1" s="115"/>
      <c r="J1" s="117" t="s">
        <v>815</v>
      </c>
      <c r="K1" s="117" t="s">
        <v>730</v>
      </c>
      <c r="L1" s="116" t="s">
        <v>268</v>
      </c>
    </row>
    <row r="2" spans="1:13" ht="37.5" customHeight="1" x14ac:dyDescent="0.2">
      <c r="A2" s="115">
        <f>ROW()-1</f>
        <v>1</v>
      </c>
      <c r="B2" s="119">
        <v>50024</v>
      </c>
      <c r="C2" s="115"/>
      <c r="D2" s="120" t="s">
        <v>912</v>
      </c>
      <c r="E2" s="121" t="s">
        <v>619</v>
      </c>
      <c r="F2" s="121">
        <v>6</v>
      </c>
      <c r="G2" s="212">
        <f>93*1.33*I2</f>
        <v>0</v>
      </c>
      <c r="H2" s="212">
        <f>G2*F2</f>
        <v>0</v>
      </c>
      <c r="I2" s="173"/>
      <c r="J2" s="139"/>
      <c r="K2" s="155"/>
      <c r="L2" s="211"/>
    </row>
    <row r="3" spans="1:13" ht="38.25" x14ac:dyDescent="0.2">
      <c r="A3" s="115">
        <f t="shared" ref="A3:A9" si="0">ROW()-1</f>
        <v>2</v>
      </c>
      <c r="B3" s="119">
        <v>50042</v>
      </c>
      <c r="C3" s="115"/>
      <c r="D3" s="120" t="s">
        <v>913</v>
      </c>
      <c r="E3" s="121" t="s">
        <v>619</v>
      </c>
      <c r="F3" s="121">
        <v>2</v>
      </c>
      <c r="G3" s="212">
        <f>93*1.33*I3</f>
        <v>0</v>
      </c>
      <c r="H3" s="212">
        <f>G3*F3</f>
        <v>0</v>
      </c>
      <c r="I3" s="173"/>
      <c r="J3" s="139">
        <v>115000</v>
      </c>
      <c r="K3" s="117"/>
      <c r="L3" s="211"/>
    </row>
    <row r="4" spans="1:13" ht="63.75" x14ac:dyDescent="0.2">
      <c r="A4" s="115">
        <f t="shared" si="0"/>
        <v>3</v>
      </c>
      <c r="B4" s="119">
        <v>100044</v>
      </c>
      <c r="C4" s="115"/>
      <c r="D4" s="120" t="s">
        <v>914</v>
      </c>
      <c r="E4" s="121" t="s">
        <v>619</v>
      </c>
      <c r="F4" s="121">
        <v>5</v>
      </c>
      <c r="G4" s="212"/>
      <c r="H4" s="212"/>
      <c r="I4" s="173"/>
      <c r="J4" s="141"/>
      <c r="K4" s="117"/>
      <c r="L4" s="211"/>
    </row>
    <row r="5" spans="1:13" ht="76.5" x14ac:dyDescent="0.2">
      <c r="A5" s="115">
        <f t="shared" si="0"/>
        <v>4</v>
      </c>
      <c r="B5" s="119">
        <v>100044</v>
      </c>
      <c r="C5" s="115"/>
      <c r="D5" s="120" t="s">
        <v>915</v>
      </c>
      <c r="E5" s="121" t="s">
        <v>619</v>
      </c>
      <c r="F5" s="121">
        <v>8</v>
      </c>
      <c r="G5" s="212"/>
      <c r="H5" s="212"/>
      <c r="I5" s="173"/>
      <c r="J5" s="141"/>
      <c r="K5" s="155">
        <v>82000</v>
      </c>
      <c r="L5" s="211"/>
    </row>
    <row r="6" spans="1:13" ht="76.5" x14ac:dyDescent="0.2">
      <c r="A6" s="115">
        <f t="shared" si="0"/>
        <v>5</v>
      </c>
      <c r="B6" s="119">
        <v>100044</v>
      </c>
      <c r="C6" s="115"/>
      <c r="D6" s="120" t="s">
        <v>916</v>
      </c>
      <c r="E6" s="121" t="s">
        <v>619</v>
      </c>
      <c r="F6" s="121">
        <v>2</v>
      </c>
      <c r="G6" s="212"/>
      <c r="H6" s="212"/>
      <c r="I6" s="173">
        <v>470</v>
      </c>
      <c r="J6" s="141"/>
      <c r="K6" s="117"/>
      <c r="L6" s="211"/>
    </row>
    <row r="7" spans="1:13" s="128" customFormat="1" x14ac:dyDescent="0.2">
      <c r="A7" s="119">
        <f t="shared" si="0"/>
        <v>6</v>
      </c>
      <c r="B7" s="349" t="s">
        <v>7</v>
      </c>
      <c r="C7" s="349"/>
      <c r="D7" s="349"/>
      <c r="E7" s="349"/>
      <c r="F7" s="349"/>
      <c r="G7" s="349"/>
      <c r="H7" s="138">
        <f>SUM(H2:H3)</f>
        <v>0</v>
      </c>
      <c r="I7" s="127"/>
      <c r="J7" s="77"/>
    </row>
    <row r="8" spans="1:13" s="128" customFormat="1" x14ac:dyDescent="0.2">
      <c r="A8" s="119">
        <f t="shared" si="0"/>
        <v>7</v>
      </c>
      <c r="B8" s="349" t="s">
        <v>649</v>
      </c>
      <c r="C8" s="349"/>
      <c r="D8" s="349"/>
      <c r="E8" s="349"/>
      <c r="F8" s="349"/>
      <c r="G8" s="349"/>
      <c r="H8" s="138">
        <f>H7*18%</f>
        <v>0</v>
      </c>
      <c r="I8" s="127"/>
      <c r="J8" s="77"/>
    </row>
    <row r="9" spans="1:13" s="128" customFormat="1" x14ac:dyDescent="0.2">
      <c r="A9" s="119">
        <f t="shared" si="0"/>
        <v>8</v>
      </c>
      <c r="B9" s="349" t="s">
        <v>8</v>
      </c>
      <c r="C9" s="349"/>
      <c r="D9" s="349"/>
      <c r="E9" s="349"/>
      <c r="F9" s="349"/>
      <c r="G9" s="349"/>
      <c r="H9" s="138">
        <f>H8+H7</f>
        <v>0</v>
      </c>
      <c r="I9" s="127"/>
      <c r="J9" s="77"/>
    </row>
    <row r="10" spans="1:13" s="128" customFormat="1" ht="147.75" customHeight="1" x14ac:dyDescent="0.2">
      <c r="A10" s="129" t="s">
        <v>9</v>
      </c>
      <c r="B10" s="350" t="s">
        <v>909</v>
      </c>
      <c r="C10" s="350"/>
      <c r="D10" s="350"/>
      <c r="E10" s="350"/>
      <c r="F10" s="350"/>
      <c r="G10" s="350"/>
      <c r="H10" s="350"/>
      <c r="I10" s="127"/>
      <c r="J10" s="127"/>
      <c r="M10" s="130"/>
    </row>
  </sheetData>
  <mergeCells count="4">
    <mergeCell ref="B7:G7"/>
    <mergeCell ref="B8:G8"/>
    <mergeCell ref="B9:G9"/>
    <mergeCell ref="B10:H10"/>
  </mergeCells>
  <pageMargins left="0.23622047244094491" right="0.23622047244094491" top="0.74803149606299213" bottom="0.74803149606299213" header="0.31496062992125984" footer="0.31496062992125984"/>
  <pageSetup orientation="landscape" horizontalDpi="4294967292" r:id="rId1"/>
  <headerFooter>
    <oddHeader>&amp;LCONFIANCE INDIA&amp;CPR 2020017116 (TG Spare )&amp;R9 NOV 2023</oddHeader>
    <oddFooter>Page &amp;P of &amp;N</oddFooter>
  </headerFooter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F1A72-674D-4860-A81C-5D9152C7EAE5}">
  <dimension ref="A1:R26"/>
  <sheetViews>
    <sheetView zoomScaleNormal="100" zoomScaleSheetLayoutView="100" workbookViewId="0">
      <selection activeCell="F2" sqref="F2"/>
    </sheetView>
  </sheetViews>
  <sheetFormatPr defaultColWidth="9.140625" defaultRowHeight="12.75" x14ac:dyDescent="0.2"/>
  <cols>
    <col min="1" max="1" width="5.85546875" style="116" bestFit="1" customWidth="1"/>
    <col min="2" max="2" width="11" style="116" bestFit="1" customWidth="1"/>
    <col min="3" max="3" width="52.42578125" style="116" customWidth="1"/>
    <col min="4" max="4" width="5" style="116" bestFit="1" customWidth="1"/>
    <col min="5" max="5" width="8.7109375" style="116" customWidth="1"/>
    <col min="6" max="6" width="14.5703125" style="116" customWidth="1"/>
    <col min="7" max="7" width="18.5703125" style="116" customWidth="1"/>
    <col min="8" max="8" width="22" style="248" bestFit="1" customWidth="1"/>
    <col min="9" max="9" width="22" style="248" customWidth="1"/>
    <col min="10" max="10" width="22.42578125" style="229" bestFit="1" customWidth="1"/>
    <col min="11" max="11" width="29.7109375" style="228" customWidth="1"/>
    <col min="12" max="12" width="17.140625" style="236" customWidth="1"/>
    <col min="13" max="13" width="12" style="116" customWidth="1"/>
    <col min="14" max="14" width="46.85546875" style="116" customWidth="1"/>
    <col min="15" max="16384" width="9.140625" style="116"/>
  </cols>
  <sheetData>
    <row r="1" spans="1:18" s="126" customFormat="1" ht="25.5" x14ac:dyDescent="0.25">
      <c r="A1" s="115" t="s">
        <v>0</v>
      </c>
      <c r="B1" s="115" t="s">
        <v>1</v>
      </c>
      <c r="C1" s="115" t="s">
        <v>2</v>
      </c>
      <c r="D1" s="115" t="s">
        <v>3</v>
      </c>
      <c r="E1" s="115" t="s">
        <v>614</v>
      </c>
      <c r="F1" s="115" t="s">
        <v>615</v>
      </c>
      <c r="G1" s="224" t="s">
        <v>119</v>
      </c>
      <c r="H1" s="247" t="s">
        <v>878</v>
      </c>
      <c r="I1" s="247" t="s">
        <v>990</v>
      </c>
      <c r="J1" s="222" t="s">
        <v>10</v>
      </c>
      <c r="K1" s="222" t="s">
        <v>945</v>
      </c>
      <c r="L1" s="252" t="s">
        <v>939</v>
      </c>
      <c r="M1" s="252" t="s">
        <v>808</v>
      </c>
      <c r="N1" s="261" t="s">
        <v>998</v>
      </c>
    </row>
    <row r="2" spans="1:18" ht="112.5" x14ac:dyDescent="0.2">
      <c r="A2" s="115">
        <f>ROW()-1</f>
        <v>1</v>
      </c>
      <c r="B2" s="119">
        <v>50825</v>
      </c>
      <c r="C2" s="217" t="s">
        <v>926</v>
      </c>
      <c r="D2" s="121" t="s">
        <v>619</v>
      </c>
      <c r="E2" s="121">
        <v>2</v>
      </c>
      <c r="F2" s="250">
        <v>693100</v>
      </c>
      <c r="G2" s="257">
        <f>F2*E2</f>
        <v>1386200</v>
      </c>
      <c r="H2" s="256">
        <v>5600</v>
      </c>
      <c r="I2" s="256"/>
      <c r="J2" s="226" t="s">
        <v>944</v>
      </c>
      <c r="K2" s="231"/>
      <c r="L2" s="232"/>
      <c r="M2" s="256">
        <v>5600</v>
      </c>
      <c r="O2" s="262"/>
      <c r="Q2" s="263"/>
    </row>
    <row r="3" spans="1:18" ht="93.75" x14ac:dyDescent="0.2">
      <c r="A3" s="115">
        <f t="shared" ref="A3:A14" si="0">ROW()-1</f>
        <v>2</v>
      </c>
      <c r="B3" s="119">
        <v>50835</v>
      </c>
      <c r="C3" s="217" t="s">
        <v>927</v>
      </c>
      <c r="D3" s="121" t="s">
        <v>619</v>
      </c>
      <c r="E3" s="121">
        <v>20</v>
      </c>
      <c r="F3" s="250">
        <v>750</v>
      </c>
      <c r="G3" s="251">
        <f t="shared" ref="G3:G11" si="1">F3*E3</f>
        <v>15000</v>
      </c>
      <c r="H3" s="250">
        <v>750</v>
      </c>
      <c r="I3" s="250">
        <v>750</v>
      </c>
      <c r="J3" s="223">
        <v>2.2999999999999998</v>
      </c>
      <c r="K3" s="233" t="s">
        <v>940</v>
      </c>
      <c r="L3" s="232">
        <v>150</v>
      </c>
      <c r="M3" s="256">
        <v>2.5</v>
      </c>
    </row>
    <row r="4" spans="1:18" ht="93.75" x14ac:dyDescent="0.2">
      <c r="A4" s="115">
        <f t="shared" si="0"/>
        <v>3</v>
      </c>
      <c r="B4" s="119">
        <v>50835</v>
      </c>
      <c r="C4" s="217" t="s">
        <v>928</v>
      </c>
      <c r="D4" s="121" t="s">
        <v>619</v>
      </c>
      <c r="E4" s="121">
        <v>20</v>
      </c>
      <c r="F4" s="250">
        <v>750</v>
      </c>
      <c r="G4" s="251">
        <f t="shared" si="1"/>
        <v>15000</v>
      </c>
      <c r="H4" s="250">
        <v>750</v>
      </c>
      <c r="I4" s="250">
        <v>750</v>
      </c>
      <c r="J4" s="223">
        <v>2.2999999999999998</v>
      </c>
      <c r="K4" s="234" t="s">
        <v>941</v>
      </c>
      <c r="L4" s="232">
        <v>150</v>
      </c>
      <c r="M4" s="256">
        <v>3.6</v>
      </c>
    </row>
    <row r="5" spans="1:18" ht="168.75" x14ac:dyDescent="0.2">
      <c r="A5" s="115">
        <f t="shared" si="0"/>
        <v>4</v>
      </c>
      <c r="B5" s="119">
        <v>50835</v>
      </c>
      <c r="C5" s="217" t="s">
        <v>929</v>
      </c>
      <c r="D5" s="121" t="s">
        <v>619</v>
      </c>
      <c r="E5" s="121">
        <v>20</v>
      </c>
      <c r="F5" s="250">
        <v>850</v>
      </c>
      <c r="G5" s="251">
        <f t="shared" si="1"/>
        <v>17000</v>
      </c>
      <c r="H5" s="250">
        <v>850</v>
      </c>
      <c r="I5" s="250">
        <v>850</v>
      </c>
      <c r="J5" s="223">
        <v>3.3</v>
      </c>
      <c r="K5" s="218" t="s">
        <v>942</v>
      </c>
      <c r="L5" s="232">
        <v>924</v>
      </c>
      <c r="M5" s="256">
        <v>6.5</v>
      </c>
    </row>
    <row r="6" spans="1:18" ht="93.75" x14ac:dyDescent="0.2">
      <c r="A6" s="115">
        <f t="shared" si="0"/>
        <v>5</v>
      </c>
      <c r="B6" s="119">
        <v>50835</v>
      </c>
      <c r="C6" s="217" t="s">
        <v>930</v>
      </c>
      <c r="D6" s="121" t="s">
        <v>619</v>
      </c>
      <c r="E6" s="121">
        <v>20</v>
      </c>
      <c r="F6" s="250">
        <v>880</v>
      </c>
      <c r="G6" s="251">
        <f t="shared" si="1"/>
        <v>17600</v>
      </c>
      <c r="H6" s="250">
        <v>880</v>
      </c>
      <c r="I6" s="250">
        <v>880</v>
      </c>
      <c r="J6" s="223">
        <v>4.5</v>
      </c>
      <c r="K6" s="218"/>
      <c r="L6" s="232">
        <v>940</v>
      </c>
      <c r="M6" s="256">
        <v>4.5</v>
      </c>
    </row>
    <row r="7" spans="1:18" s="126" customFormat="1" ht="93.75" x14ac:dyDescent="0.25">
      <c r="A7" s="115">
        <f t="shared" si="0"/>
        <v>6</v>
      </c>
      <c r="B7" s="119">
        <v>50835</v>
      </c>
      <c r="C7" s="217" t="s">
        <v>931</v>
      </c>
      <c r="D7" s="121" t="s">
        <v>619</v>
      </c>
      <c r="E7" s="121">
        <v>2</v>
      </c>
      <c r="F7" s="249">
        <v>39000</v>
      </c>
      <c r="G7" s="251">
        <f t="shared" si="1"/>
        <v>78000</v>
      </c>
      <c r="H7" s="249">
        <v>39000</v>
      </c>
      <c r="I7" s="249">
        <v>39000</v>
      </c>
      <c r="J7" s="227">
        <v>295</v>
      </c>
      <c r="K7" s="227"/>
      <c r="L7" s="218"/>
      <c r="M7" s="256">
        <v>265</v>
      </c>
    </row>
    <row r="8" spans="1:18" ht="75" x14ac:dyDescent="0.2">
      <c r="A8" s="115">
        <f t="shared" si="0"/>
        <v>7</v>
      </c>
      <c r="B8" s="119">
        <v>50885</v>
      </c>
      <c r="C8" s="217" t="s">
        <v>932</v>
      </c>
      <c r="D8" s="121" t="s">
        <v>619</v>
      </c>
      <c r="E8" s="121">
        <v>2</v>
      </c>
      <c r="F8" s="250">
        <v>54000</v>
      </c>
      <c r="G8" s="251">
        <f t="shared" si="1"/>
        <v>108000</v>
      </c>
      <c r="H8" s="250">
        <v>54000</v>
      </c>
      <c r="I8" s="250">
        <v>54000</v>
      </c>
      <c r="J8" s="223" t="s">
        <v>943</v>
      </c>
      <c r="L8" s="232"/>
      <c r="M8" s="256" t="s">
        <v>997</v>
      </c>
    </row>
    <row r="9" spans="1:18" ht="112.5" x14ac:dyDescent="0.2">
      <c r="A9" s="115">
        <f t="shared" si="0"/>
        <v>8</v>
      </c>
      <c r="B9" s="119">
        <v>50885</v>
      </c>
      <c r="C9" s="217" t="s">
        <v>933</v>
      </c>
      <c r="D9" s="121" t="s">
        <v>619</v>
      </c>
      <c r="E9" s="121">
        <v>2</v>
      </c>
      <c r="F9" s="250">
        <v>54000</v>
      </c>
      <c r="G9" s="251">
        <f t="shared" si="1"/>
        <v>108000</v>
      </c>
      <c r="H9" s="250">
        <v>54000</v>
      </c>
      <c r="I9" s="250">
        <v>54000</v>
      </c>
      <c r="J9" s="223" t="s">
        <v>996</v>
      </c>
      <c r="K9" s="218"/>
      <c r="L9" s="232"/>
      <c r="M9" s="256">
        <v>1080</v>
      </c>
    </row>
    <row r="10" spans="1:18" s="126" customFormat="1" ht="56.25" x14ac:dyDescent="0.2">
      <c r="A10" s="115">
        <f t="shared" si="0"/>
        <v>9</v>
      </c>
      <c r="B10" s="119">
        <v>50885</v>
      </c>
      <c r="C10" s="217" t="s">
        <v>934</v>
      </c>
      <c r="D10" s="121" t="s">
        <v>619</v>
      </c>
      <c r="E10" s="121">
        <v>2</v>
      </c>
      <c r="F10" s="250">
        <v>47100</v>
      </c>
      <c r="G10" s="251">
        <f t="shared" si="1"/>
        <v>94200</v>
      </c>
      <c r="H10" s="250">
        <v>54000</v>
      </c>
      <c r="I10" s="250">
        <v>54000</v>
      </c>
      <c r="J10" s="223">
        <v>399</v>
      </c>
      <c r="K10" s="218"/>
      <c r="L10" s="232"/>
      <c r="M10" s="256">
        <v>275</v>
      </c>
      <c r="O10" s="262"/>
      <c r="P10" s="116"/>
      <c r="Q10" s="263"/>
      <c r="R10" s="116"/>
    </row>
    <row r="11" spans="1:18" ht="93.75" x14ac:dyDescent="0.2">
      <c r="A11" s="115">
        <f t="shared" si="0"/>
        <v>10</v>
      </c>
      <c r="B11" s="119">
        <v>50885</v>
      </c>
      <c r="C11" s="217" t="s">
        <v>935</v>
      </c>
      <c r="D11" s="121" t="s">
        <v>619</v>
      </c>
      <c r="E11" s="121">
        <v>2</v>
      </c>
      <c r="F11" s="250">
        <v>5500</v>
      </c>
      <c r="G11" s="251">
        <f t="shared" si="1"/>
        <v>11000</v>
      </c>
      <c r="H11" s="250">
        <v>5500</v>
      </c>
      <c r="I11" s="250">
        <v>5500</v>
      </c>
      <c r="J11" s="223">
        <v>86</v>
      </c>
      <c r="K11" s="218"/>
      <c r="L11" s="232"/>
      <c r="M11" s="256">
        <v>95</v>
      </c>
    </row>
    <row r="12" spans="1:18" s="128" customFormat="1" x14ac:dyDescent="0.2">
      <c r="A12" s="119">
        <f t="shared" si="0"/>
        <v>11</v>
      </c>
      <c r="B12" s="356" t="s">
        <v>7</v>
      </c>
      <c r="C12" s="357"/>
      <c r="D12" s="357"/>
      <c r="E12" s="357"/>
      <c r="F12" s="358"/>
      <c r="G12" s="225">
        <f>SUM(G2:G11)</f>
        <v>1850000</v>
      </c>
      <c r="H12" s="248"/>
      <c r="I12" s="248"/>
      <c r="J12" s="229"/>
      <c r="K12" s="228"/>
      <c r="L12" s="236"/>
    </row>
    <row r="13" spans="1:18" s="128" customFormat="1" x14ac:dyDescent="0.2">
      <c r="A13" s="119">
        <f t="shared" si="0"/>
        <v>12</v>
      </c>
      <c r="B13" s="356" t="s">
        <v>649</v>
      </c>
      <c r="C13" s="357"/>
      <c r="D13" s="357"/>
      <c r="E13" s="357"/>
      <c r="F13" s="358"/>
      <c r="G13" s="225">
        <f>G12*18%</f>
        <v>333000</v>
      </c>
      <c r="H13" s="248"/>
      <c r="I13" s="248"/>
      <c r="J13" s="229"/>
      <c r="K13" s="228"/>
      <c r="L13" s="236"/>
    </row>
    <row r="14" spans="1:18" s="128" customFormat="1" x14ac:dyDescent="0.2">
      <c r="A14" s="119">
        <f t="shared" si="0"/>
        <v>13</v>
      </c>
      <c r="B14" s="356" t="s">
        <v>8</v>
      </c>
      <c r="C14" s="357"/>
      <c r="D14" s="357"/>
      <c r="E14" s="357"/>
      <c r="F14" s="358"/>
      <c r="G14" s="225">
        <f>G13+G12</f>
        <v>2183000</v>
      </c>
      <c r="H14" s="248"/>
      <c r="I14" s="248"/>
      <c r="J14" s="229"/>
      <c r="K14" s="228"/>
      <c r="L14" s="236"/>
    </row>
    <row r="15" spans="1:18" s="128" customFormat="1" ht="147.75" customHeight="1" x14ac:dyDescent="0.2">
      <c r="A15" s="129" t="s">
        <v>9</v>
      </c>
      <c r="B15" s="359" t="s">
        <v>909</v>
      </c>
      <c r="C15" s="360"/>
      <c r="D15" s="360"/>
      <c r="E15" s="360"/>
      <c r="F15" s="360"/>
      <c r="G15" s="361"/>
      <c r="H15" s="248"/>
      <c r="I15" s="248"/>
      <c r="J15" s="229"/>
      <c r="K15" s="228"/>
      <c r="L15" s="235"/>
    </row>
    <row r="18" spans="6:7" x14ac:dyDescent="0.2">
      <c r="G18" s="149">
        <f>G12-1850000</f>
        <v>0</v>
      </c>
    </row>
    <row r="19" spans="6:7" x14ac:dyDescent="0.2">
      <c r="G19" s="116">
        <v>1508000</v>
      </c>
    </row>
    <row r="20" spans="6:7" x14ac:dyDescent="0.2">
      <c r="F20" s="116">
        <f>27600/4</f>
        <v>6900</v>
      </c>
    </row>
    <row r="21" spans="6:7" x14ac:dyDescent="0.2">
      <c r="F21" s="116">
        <f>700000-F20</f>
        <v>693100</v>
      </c>
    </row>
    <row r="22" spans="6:7" x14ac:dyDescent="0.2">
      <c r="F22" s="149">
        <f>F10-F20</f>
        <v>40200</v>
      </c>
    </row>
    <row r="25" spans="6:7" x14ac:dyDescent="0.2">
      <c r="G25" s="149">
        <f>G18/2</f>
        <v>0</v>
      </c>
    </row>
    <row r="26" spans="6:7" x14ac:dyDescent="0.2">
      <c r="G26" s="149">
        <f>F2-G25</f>
        <v>693100</v>
      </c>
    </row>
  </sheetData>
  <mergeCells count="4">
    <mergeCell ref="B12:F12"/>
    <mergeCell ref="B13:F13"/>
    <mergeCell ref="B14:F14"/>
    <mergeCell ref="B15:G15"/>
  </mergeCells>
  <pageMargins left="0.23622047244094491" right="0.23622047244094491" top="0.74803149606299213" bottom="0.74803149606299213" header="0.31496062992125984" footer="0.31496062992125984"/>
  <pageSetup orientation="landscape" horizontalDpi="4294967292" r:id="rId1"/>
  <headerFooter>
    <oddHeader>&amp;LCONFIANCE INDIA&amp;CPR 2020017116 (TG Spare )&amp;R9 NOV 2023</oddHeader>
    <oddFooter>Page &amp;P of &amp;N</oddFooter>
  </headerFooter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CFFAF-BF7F-4624-BA55-1E99F84CE1D6}">
  <dimension ref="A1:L8"/>
  <sheetViews>
    <sheetView zoomScaleNormal="100" zoomScaleSheetLayoutView="100" workbookViewId="0">
      <selection activeCell="J6" sqref="J6"/>
    </sheetView>
  </sheetViews>
  <sheetFormatPr defaultColWidth="9.140625" defaultRowHeight="12.75" x14ac:dyDescent="0.2"/>
  <cols>
    <col min="1" max="1" width="5.85546875" style="116" bestFit="1" customWidth="1"/>
    <col min="2" max="2" width="11" style="116" bestFit="1" customWidth="1"/>
    <col min="3" max="3" width="12.140625" style="116" bestFit="1" customWidth="1"/>
    <col min="4" max="4" width="52.42578125" style="116" customWidth="1"/>
    <col min="5" max="5" width="5" style="116" bestFit="1" customWidth="1"/>
    <col min="6" max="6" width="8.7109375" style="116" customWidth="1"/>
    <col min="7" max="7" width="14.5703125" style="116" customWidth="1"/>
    <col min="8" max="8" width="18.5703125" style="116" customWidth="1"/>
    <col min="9" max="9" width="22" style="127" bestFit="1" customWidth="1"/>
    <col min="10" max="10" width="17.140625" style="77" customWidth="1"/>
    <col min="11" max="11" width="12.28515625" style="219" bestFit="1" customWidth="1"/>
    <col min="12" max="12" width="19.42578125" style="220" bestFit="1" customWidth="1"/>
    <col min="13" max="14" width="12.42578125" style="116" bestFit="1" customWidth="1"/>
    <col min="15" max="16384" width="9.140625" style="116"/>
  </cols>
  <sheetData>
    <row r="1" spans="1:12" s="126" customFormat="1" x14ac:dyDescent="0.25">
      <c r="A1" s="115" t="s">
        <v>0</v>
      </c>
      <c r="B1" s="115" t="s">
        <v>1</v>
      </c>
      <c r="C1" s="115" t="s">
        <v>936</v>
      </c>
      <c r="D1" s="115" t="s">
        <v>2</v>
      </c>
      <c r="E1" s="115" t="s">
        <v>3</v>
      </c>
      <c r="F1" s="115" t="s">
        <v>614</v>
      </c>
      <c r="G1" s="115" t="s">
        <v>615</v>
      </c>
      <c r="H1" s="115" t="s">
        <v>119</v>
      </c>
      <c r="I1" s="222" t="s">
        <v>878</v>
      </c>
      <c r="J1" s="244" t="s">
        <v>10</v>
      </c>
      <c r="K1" s="243"/>
      <c r="L1" s="134"/>
    </row>
    <row r="2" spans="1:12" s="126" customFormat="1" ht="93.75" x14ac:dyDescent="0.25">
      <c r="A2" s="115"/>
      <c r="B2" s="245">
        <v>1100003038</v>
      </c>
      <c r="C2" s="245">
        <v>1100003038</v>
      </c>
      <c r="D2" s="217" t="s">
        <v>938</v>
      </c>
      <c r="E2" s="121" t="s">
        <v>619</v>
      </c>
      <c r="F2" s="121">
        <v>200</v>
      </c>
      <c r="G2" s="246">
        <f>130*I2</f>
        <v>3315</v>
      </c>
      <c r="H2" s="246">
        <f>G2*F2</f>
        <v>663000</v>
      </c>
      <c r="I2" s="133">
        <v>25.5</v>
      </c>
      <c r="J2" s="133">
        <v>25.5</v>
      </c>
      <c r="K2" s="155"/>
    </row>
    <row r="3" spans="1:12" s="128" customFormat="1" x14ac:dyDescent="0.2">
      <c r="A3" s="119">
        <f t="shared" ref="A3:A5" si="0">ROW()-1</f>
        <v>2</v>
      </c>
      <c r="B3" s="356" t="s">
        <v>7</v>
      </c>
      <c r="C3" s="357"/>
      <c r="D3" s="357"/>
      <c r="E3" s="357"/>
      <c r="F3" s="357"/>
      <c r="G3" s="358"/>
      <c r="H3" s="138">
        <f>SUM(H2:H2)</f>
        <v>663000</v>
      </c>
      <c r="I3" s="127"/>
      <c r="J3" s="77"/>
    </row>
    <row r="4" spans="1:12" s="128" customFormat="1" x14ac:dyDescent="0.2">
      <c r="A4" s="119">
        <f t="shared" si="0"/>
        <v>3</v>
      </c>
      <c r="B4" s="356" t="s">
        <v>649</v>
      </c>
      <c r="C4" s="357"/>
      <c r="D4" s="357"/>
      <c r="E4" s="357"/>
      <c r="F4" s="357"/>
      <c r="G4" s="358"/>
      <c r="H4" s="138">
        <f>H3*18%</f>
        <v>119340</v>
      </c>
      <c r="I4" s="127"/>
      <c r="J4" s="77"/>
    </row>
    <row r="5" spans="1:12" s="128" customFormat="1" x14ac:dyDescent="0.2">
      <c r="A5" s="119">
        <f t="shared" si="0"/>
        <v>4</v>
      </c>
      <c r="B5" s="356" t="s">
        <v>8</v>
      </c>
      <c r="C5" s="357"/>
      <c r="D5" s="357"/>
      <c r="E5" s="357"/>
      <c r="F5" s="357"/>
      <c r="G5" s="358"/>
      <c r="H5" s="138">
        <f>H4+H3</f>
        <v>782340</v>
      </c>
      <c r="I5" s="127"/>
      <c r="J5" s="77"/>
    </row>
    <row r="6" spans="1:12" s="128" customFormat="1" ht="147.75" customHeight="1" x14ac:dyDescent="0.2">
      <c r="A6" s="129" t="s">
        <v>9</v>
      </c>
      <c r="B6" s="359" t="s">
        <v>909</v>
      </c>
      <c r="C6" s="360"/>
      <c r="D6" s="360"/>
      <c r="E6" s="360"/>
      <c r="F6" s="360"/>
      <c r="G6" s="360"/>
      <c r="H6" s="361"/>
      <c r="I6" s="127"/>
      <c r="J6" s="127"/>
      <c r="L6" s="130"/>
    </row>
    <row r="8" spans="1:12" ht="76.5" x14ac:dyDescent="0.2">
      <c r="D8" s="221" t="s">
        <v>937</v>
      </c>
    </row>
  </sheetData>
  <mergeCells count="4">
    <mergeCell ref="B3:G3"/>
    <mergeCell ref="B4:G4"/>
    <mergeCell ref="B5:G5"/>
    <mergeCell ref="B6:H6"/>
  </mergeCells>
  <pageMargins left="0.23622047244094491" right="0.23622047244094491" top="0.74803149606299213" bottom="0.74803149606299213" header="0.31496062992125984" footer="0.31496062992125984"/>
  <pageSetup orientation="landscape" horizontalDpi="4294967292" r:id="rId1"/>
  <headerFooter>
    <oddHeader>&amp;LCONFIANCE INDIA&amp;CPR 2020017116 (TG Spare )&amp;R9 NOV 2023</oddHeader>
    <oddFooter>Page &amp;P of &amp;N</oddFooter>
  </headerFooter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7FCC6-1FDF-4CF6-88E4-E62934EE265A}">
  <dimension ref="A1:N20"/>
  <sheetViews>
    <sheetView zoomScaleNormal="100" zoomScaleSheetLayoutView="100" workbookViewId="0">
      <selection activeCell="B5" sqref="B5"/>
    </sheetView>
  </sheetViews>
  <sheetFormatPr defaultColWidth="9.140625" defaultRowHeight="12.75" x14ac:dyDescent="0.2"/>
  <cols>
    <col min="1" max="1" width="5.85546875" style="116" bestFit="1" customWidth="1"/>
    <col min="2" max="2" width="17.85546875" style="116" customWidth="1"/>
    <col min="3" max="3" width="14.7109375" style="116" customWidth="1"/>
    <col min="4" max="4" width="58.42578125" style="116" customWidth="1"/>
    <col min="5" max="5" width="5" style="116" bestFit="1" customWidth="1"/>
    <col min="6" max="6" width="8.7109375" style="116" customWidth="1"/>
    <col min="7" max="7" width="11.5703125" style="116" bestFit="1" customWidth="1"/>
    <col min="8" max="8" width="16.85546875" style="116" customWidth="1"/>
    <col min="9" max="9" width="33.28515625" style="116" customWidth="1"/>
    <col min="10" max="10" width="22" style="127" bestFit="1" customWidth="1"/>
    <col min="11" max="11" width="17.140625" style="77" customWidth="1"/>
    <col min="12" max="12" width="17.85546875" style="128" bestFit="1" customWidth="1"/>
    <col min="13" max="13" width="16.5703125" style="116" bestFit="1" customWidth="1"/>
    <col min="14" max="14" width="14" style="116" bestFit="1" customWidth="1"/>
    <col min="15" max="16" width="12.42578125" style="116" bestFit="1" customWidth="1"/>
    <col min="17" max="16384" width="9.140625" style="116"/>
  </cols>
  <sheetData>
    <row r="1" spans="1:13" x14ac:dyDescent="0.2">
      <c r="A1" s="115" t="s">
        <v>0</v>
      </c>
      <c r="B1" s="115" t="s">
        <v>1</v>
      </c>
      <c r="C1" s="115" t="s">
        <v>5</v>
      </c>
      <c r="D1" s="115" t="s">
        <v>2</v>
      </c>
      <c r="E1" s="115" t="s">
        <v>3</v>
      </c>
      <c r="F1" s="115" t="s">
        <v>614</v>
      </c>
      <c r="G1" s="115" t="s">
        <v>615</v>
      </c>
      <c r="H1" s="115" t="s">
        <v>119</v>
      </c>
      <c r="I1" s="115" t="s">
        <v>617</v>
      </c>
      <c r="J1" s="240" t="s">
        <v>967</v>
      </c>
      <c r="K1" s="117" t="s">
        <v>110</v>
      </c>
      <c r="L1" s="118"/>
    </row>
    <row r="2" spans="1:13" ht="127.5" x14ac:dyDescent="0.2">
      <c r="A2" s="119">
        <f>ROW()-1</f>
        <v>1</v>
      </c>
      <c r="B2" s="119">
        <v>50226</v>
      </c>
      <c r="C2" s="119"/>
      <c r="D2" s="120" t="s">
        <v>968</v>
      </c>
      <c r="E2" s="121" t="s">
        <v>4</v>
      </c>
      <c r="F2" s="121">
        <v>1</v>
      </c>
      <c r="G2" s="137">
        <f>90*1.3*J2</f>
        <v>520650</v>
      </c>
      <c r="H2" s="137">
        <f>G2*F2</f>
        <v>520650</v>
      </c>
      <c r="I2" s="137"/>
      <c r="J2" s="241">
        <v>4450</v>
      </c>
      <c r="K2" s="241">
        <v>4450</v>
      </c>
      <c r="L2" s="141"/>
      <c r="M2" s="141"/>
    </row>
    <row r="3" spans="1:13" ht="102" x14ac:dyDescent="0.2">
      <c r="A3" s="119">
        <f t="shared" ref="A3:A19" si="0">ROW()-1</f>
        <v>2</v>
      </c>
      <c r="B3" s="119">
        <v>50247</v>
      </c>
      <c r="C3" s="119"/>
      <c r="D3" s="120" t="s">
        <v>969</v>
      </c>
      <c r="E3" s="121" t="s">
        <v>4</v>
      </c>
      <c r="F3" s="121">
        <v>2</v>
      </c>
      <c r="G3" s="137">
        <f t="shared" ref="G3:G16" si="1">90*1.3*J3</f>
        <v>15210</v>
      </c>
      <c r="H3" s="137">
        <f t="shared" ref="H3:H16" si="2">G3*F3</f>
        <v>30420</v>
      </c>
      <c r="I3" s="137"/>
      <c r="J3" s="241">
        <v>130</v>
      </c>
      <c r="K3" s="241">
        <v>130</v>
      </c>
      <c r="L3" s="141"/>
      <c r="M3" s="141"/>
    </row>
    <row r="4" spans="1:13" ht="114.75" x14ac:dyDescent="0.2">
      <c r="A4" s="119">
        <f t="shared" si="0"/>
        <v>3</v>
      </c>
      <c r="B4" s="119">
        <v>50248</v>
      </c>
      <c r="C4" s="119"/>
      <c r="D4" s="120" t="s">
        <v>970</v>
      </c>
      <c r="E4" s="121" t="s">
        <v>4</v>
      </c>
      <c r="F4" s="121">
        <v>2</v>
      </c>
      <c r="G4" s="137">
        <f t="shared" si="1"/>
        <v>40950</v>
      </c>
      <c r="H4" s="137">
        <f t="shared" si="2"/>
        <v>81900</v>
      </c>
      <c r="I4" s="137"/>
      <c r="J4" s="241">
        <v>350</v>
      </c>
      <c r="K4" s="241">
        <v>350</v>
      </c>
      <c r="L4" s="141"/>
      <c r="M4" s="141"/>
    </row>
    <row r="5" spans="1:13" ht="102" x14ac:dyDescent="0.2">
      <c r="A5" s="119">
        <f t="shared" si="0"/>
        <v>4</v>
      </c>
      <c r="B5" s="119">
        <v>50248</v>
      </c>
      <c r="C5" s="119"/>
      <c r="D5" s="120" t="s">
        <v>971</v>
      </c>
      <c r="E5" s="121" t="s">
        <v>4</v>
      </c>
      <c r="F5" s="121">
        <v>2</v>
      </c>
      <c r="G5" s="137">
        <f t="shared" si="1"/>
        <v>33930</v>
      </c>
      <c r="H5" s="137">
        <f t="shared" si="2"/>
        <v>67860</v>
      </c>
      <c r="I5" s="137"/>
      <c r="J5" s="241">
        <v>290</v>
      </c>
      <c r="K5" s="241">
        <v>290</v>
      </c>
      <c r="L5" s="141"/>
      <c r="M5" s="141"/>
    </row>
    <row r="6" spans="1:13" ht="102" x14ac:dyDescent="0.2">
      <c r="A6" s="119">
        <f t="shared" si="0"/>
        <v>5</v>
      </c>
      <c r="B6" s="119">
        <v>50249</v>
      </c>
      <c r="C6" s="119"/>
      <c r="D6" s="120" t="s">
        <v>972</v>
      </c>
      <c r="E6" s="121" t="s">
        <v>4</v>
      </c>
      <c r="F6" s="121">
        <v>1</v>
      </c>
      <c r="G6" s="137">
        <f t="shared" si="1"/>
        <v>33930</v>
      </c>
      <c r="H6" s="137">
        <f t="shared" si="2"/>
        <v>33930</v>
      </c>
      <c r="I6" s="137"/>
      <c r="J6" s="241">
        <v>290</v>
      </c>
      <c r="K6" s="241">
        <v>290</v>
      </c>
      <c r="L6" s="141"/>
      <c r="M6" s="141"/>
    </row>
    <row r="7" spans="1:13" ht="102" x14ac:dyDescent="0.2">
      <c r="A7" s="119">
        <f t="shared" si="0"/>
        <v>6</v>
      </c>
      <c r="B7" s="119">
        <v>50249</v>
      </c>
      <c r="C7" s="119"/>
      <c r="D7" s="120" t="s">
        <v>973</v>
      </c>
      <c r="E7" s="121" t="s">
        <v>4</v>
      </c>
      <c r="F7" s="121">
        <v>1</v>
      </c>
      <c r="G7" s="137">
        <f t="shared" si="1"/>
        <v>40365</v>
      </c>
      <c r="H7" s="137">
        <f t="shared" si="2"/>
        <v>40365</v>
      </c>
      <c r="I7" s="137"/>
      <c r="J7" s="241">
        <v>345</v>
      </c>
      <c r="K7" s="241">
        <v>345</v>
      </c>
      <c r="L7" s="141"/>
      <c r="M7" s="141"/>
    </row>
    <row r="8" spans="1:13" ht="102" x14ac:dyDescent="0.2">
      <c r="A8" s="119">
        <f t="shared" si="0"/>
        <v>7</v>
      </c>
      <c r="B8" s="119">
        <v>50249</v>
      </c>
      <c r="C8" s="119"/>
      <c r="D8" s="120" t="s">
        <v>974</v>
      </c>
      <c r="E8" s="121" t="s">
        <v>4</v>
      </c>
      <c r="F8" s="121">
        <v>1</v>
      </c>
      <c r="G8" s="137">
        <f t="shared" si="1"/>
        <v>40365</v>
      </c>
      <c r="H8" s="137">
        <f t="shared" si="2"/>
        <v>40365</v>
      </c>
      <c r="I8" s="137"/>
      <c r="J8" s="241">
        <v>345</v>
      </c>
      <c r="K8" s="241">
        <v>345</v>
      </c>
      <c r="L8" s="141"/>
      <c r="M8" s="141"/>
    </row>
    <row r="9" spans="1:13" ht="102" x14ac:dyDescent="0.2">
      <c r="A9" s="119">
        <f t="shared" si="0"/>
        <v>8</v>
      </c>
      <c r="B9" s="119">
        <v>50249</v>
      </c>
      <c r="C9" s="119"/>
      <c r="D9" s="120" t="s">
        <v>975</v>
      </c>
      <c r="E9" s="121" t="s">
        <v>4</v>
      </c>
      <c r="F9" s="121">
        <v>1</v>
      </c>
      <c r="G9" s="137">
        <f t="shared" si="1"/>
        <v>0</v>
      </c>
      <c r="H9" s="137">
        <f t="shared" si="2"/>
        <v>0</v>
      </c>
      <c r="I9" s="137" t="s">
        <v>976</v>
      </c>
      <c r="J9" s="241"/>
      <c r="K9" s="241" t="s">
        <v>977</v>
      </c>
      <c r="L9" s="141"/>
      <c r="M9" s="141"/>
    </row>
    <row r="10" spans="1:13" ht="102" x14ac:dyDescent="0.2">
      <c r="A10" s="119">
        <f t="shared" si="0"/>
        <v>9</v>
      </c>
      <c r="B10" s="119">
        <v>100537</v>
      </c>
      <c r="C10" s="119"/>
      <c r="D10" s="120" t="s">
        <v>978</v>
      </c>
      <c r="E10" s="121" t="s">
        <v>4</v>
      </c>
      <c r="F10" s="121">
        <v>3</v>
      </c>
      <c r="G10" s="137">
        <f t="shared" si="1"/>
        <v>117000</v>
      </c>
      <c r="H10" s="137">
        <f t="shared" si="2"/>
        <v>351000</v>
      </c>
      <c r="I10" s="137"/>
      <c r="J10" s="241">
        <v>1000</v>
      </c>
      <c r="K10" s="241">
        <v>1000</v>
      </c>
      <c r="L10" s="141"/>
      <c r="M10" s="141"/>
    </row>
    <row r="11" spans="1:13" ht="102" x14ac:dyDescent="0.2">
      <c r="A11" s="119">
        <f t="shared" si="0"/>
        <v>10</v>
      </c>
      <c r="B11" s="119">
        <v>100706</v>
      </c>
      <c r="C11" s="119"/>
      <c r="D11" s="120" t="s">
        <v>979</v>
      </c>
      <c r="E11" s="121" t="s">
        <v>4</v>
      </c>
      <c r="F11" s="121">
        <v>4</v>
      </c>
      <c r="G11" s="137">
        <f t="shared" si="1"/>
        <v>0</v>
      </c>
      <c r="H11" s="137">
        <f t="shared" si="2"/>
        <v>0</v>
      </c>
      <c r="I11" s="137" t="s">
        <v>976</v>
      </c>
      <c r="J11" s="241"/>
      <c r="K11" s="241" t="s">
        <v>980</v>
      </c>
      <c r="L11" s="141"/>
      <c r="M11" s="141"/>
    </row>
    <row r="12" spans="1:13" ht="114.75" x14ac:dyDescent="0.2">
      <c r="A12" s="119">
        <f t="shared" si="0"/>
        <v>11</v>
      </c>
      <c r="B12" s="119">
        <v>100706</v>
      </c>
      <c r="C12" s="119"/>
      <c r="D12" s="120" t="s">
        <v>981</v>
      </c>
      <c r="E12" s="121" t="s">
        <v>4</v>
      </c>
      <c r="F12" s="121">
        <v>4</v>
      </c>
      <c r="G12" s="137">
        <f t="shared" si="1"/>
        <v>21645</v>
      </c>
      <c r="H12" s="137">
        <f t="shared" si="2"/>
        <v>86580</v>
      </c>
      <c r="I12" s="137"/>
      <c r="J12" s="241">
        <v>185</v>
      </c>
      <c r="K12" s="241">
        <v>185</v>
      </c>
      <c r="L12" s="141"/>
      <c r="M12" s="141"/>
    </row>
    <row r="13" spans="1:13" ht="114.75" x14ac:dyDescent="0.2">
      <c r="A13" s="119">
        <f t="shared" si="0"/>
        <v>12</v>
      </c>
      <c r="B13" s="119">
        <v>100706</v>
      </c>
      <c r="C13" s="119"/>
      <c r="D13" s="120" t="s">
        <v>982</v>
      </c>
      <c r="E13" s="121" t="s">
        <v>4</v>
      </c>
      <c r="F13" s="121">
        <v>3</v>
      </c>
      <c r="G13" s="137">
        <f t="shared" si="1"/>
        <v>28665</v>
      </c>
      <c r="H13" s="137">
        <f t="shared" si="2"/>
        <v>85995</v>
      </c>
      <c r="I13" s="137"/>
      <c r="J13" s="241">
        <v>245</v>
      </c>
      <c r="K13" s="241">
        <v>245</v>
      </c>
      <c r="L13" s="141"/>
      <c r="M13" s="141"/>
    </row>
    <row r="14" spans="1:13" ht="102" x14ac:dyDescent="0.2">
      <c r="A14" s="119">
        <f t="shared" si="0"/>
        <v>13</v>
      </c>
      <c r="B14" s="119">
        <v>100706</v>
      </c>
      <c r="C14" s="119"/>
      <c r="D14" s="120" t="s">
        <v>983</v>
      </c>
      <c r="E14" s="121" t="s">
        <v>4</v>
      </c>
      <c r="F14" s="121">
        <v>2</v>
      </c>
      <c r="G14" s="137">
        <f t="shared" si="1"/>
        <v>0</v>
      </c>
      <c r="H14" s="137">
        <f t="shared" si="2"/>
        <v>0</v>
      </c>
      <c r="I14" s="137" t="s">
        <v>976</v>
      </c>
      <c r="J14" s="241"/>
      <c r="K14" s="241" t="s">
        <v>984</v>
      </c>
      <c r="L14" s="141"/>
      <c r="M14" s="141"/>
    </row>
    <row r="15" spans="1:13" ht="63.75" x14ac:dyDescent="0.2">
      <c r="A15" s="119">
        <f t="shared" si="0"/>
        <v>14</v>
      </c>
      <c r="B15" s="119">
        <v>50022</v>
      </c>
      <c r="C15" s="119"/>
      <c r="D15" s="120" t="s">
        <v>985</v>
      </c>
      <c r="E15" s="121" t="s">
        <v>4</v>
      </c>
      <c r="F15" s="121">
        <v>6</v>
      </c>
      <c r="G15" s="137">
        <f t="shared" si="1"/>
        <v>137826</v>
      </c>
      <c r="H15" s="137">
        <f t="shared" si="2"/>
        <v>826956</v>
      </c>
      <c r="I15" s="137"/>
      <c r="J15" s="241">
        <v>1178</v>
      </c>
      <c r="K15" s="241">
        <v>1178</v>
      </c>
      <c r="L15" s="141"/>
      <c r="M15" s="141"/>
    </row>
    <row r="16" spans="1:13" ht="51" x14ac:dyDescent="0.2">
      <c r="A16" s="119">
        <f t="shared" si="0"/>
        <v>15</v>
      </c>
      <c r="B16" s="119">
        <v>50185</v>
      </c>
      <c r="C16" s="119"/>
      <c r="D16" s="120" t="s">
        <v>986</v>
      </c>
      <c r="E16" s="121" t="s">
        <v>4</v>
      </c>
      <c r="F16" s="121">
        <v>8</v>
      </c>
      <c r="G16" s="137">
        <f t="shared" si="1"/>
        <v>91728</v>
      </c>
      <c r="H16" s="137">
        <f t="shared" si="2"/>
        <v>733824</v>
      </c>
      <c r="I16" s="137"/>
      <c r="J16" s="241">
        <v>784</v>
      </c>
      <c r="K16" s="241">
        <v>784</v>
      </c>
      <c r="L16" s="242" t="s">
        <v>987</v>
      </c>
      <c r="M16" s="141"/>
    </row>
    <row r="17" spans="1:14" s="128" customFormat="1" x14ac:dyDescent="0.2">
      <c r="A17" s="119">
        <f t="shared" si="0"/>
        <v>16</v>
      </c>
      <c r="B17" s="349" t="s">
        <v>7</v>
      </c>
      <c r="C17" s="349"/>
      <c r="D17" s="349"/>
      <c r="E17" s="349"/>
      <c r="F17" s="349"/>
      <c r="G17" s="349"/>
      <c r="H17" s="138">
        <f>SUM(H2:H16)</f>
        <v>2899845</v>
      </c>
      <c r="I17" s="138"/>
      <c r="J17" s="127"/>
      <c r="K17" s="77"/>
    </row>
    <row r="18" spans="1:14" s="128" customFormat="1" x14ac:dyDescent="0.2">
      <c r="A18" s="119">
        <f t="shared" si="0"/>
        <v>17</v>
      </c>
      <c r="B18" s="349" t="s">
        <v>649</v>
      </c>
      <c r="C18" s="349"/>
      <c r="D18" s="349"/>
      <c r="E18" s="349"/>
      <c r="F18" s="349"/>
      <c r="G18" s="349"/>
      <c r="H18" s="138">
        <f>H17*18%</f>
        <v>521972.1</v>
      </c>
      <c r="I18" s="138"/>
      <c r="J18" s="127"/>
      <c r="K18" s="77"/>
    </row>
    <row r="19" spans="1:14" s="128" customFormat="1" x14ac:dyDescent="0.2">
      <c r="A19" s="119">
        <f t="shared" si="0"/>
        <v>18</v>
      </c>
      <c r="B19" s="349" t="s">
        <v>8</v>
      </c>
      <c r="C19" s="349"/>
      <c r="D19" s="349"/>
      <c r="E19" s="349"/>
      <c r="F19" s="349"/>
      <c r="G19" s="349"/>
      <c r="H19" s="138">
        <f>H18+H17</f>
        <v>3421817.1</v>
      </c>
      <c r="I19" s="138"/>
      <c r="J19" s="127"/>
      <c r="K19" s="77"/>
    </row>
    <row r="20" spans="1:14" s="128" customFormat="1" ht="147.75" customHeight="1" x14ac:dyDescent="0.2">
      <c r="A20" s="129" t="s">
        <v>9</v>
      </c>
      <c r="B20" s="350" t="s">
        <v>909</v>
      </c>
      <c r="C20" s="350"/>
      <c r="D20" s="350"/>
      <c r="E20" s="350"/>
      <c r="F20" s="350"/>
      <c r="G20" s="350"/>
      <c r="H20" s="350"/>
      <c r="I20" s="230"/>
      <c r="J20" s="127"/>
      <c r="K20" s="127"/>
      <c r="N20" s="130"/>
    </row>
  </sheetData>
  <mergeCells count="4">
    <mergeCell ref="B17:G17"/>
    <mergeCell ref="B18:G18"/>
    <mergeCell ref="B19:G19"/>
    <mergeCell ref="B20:H20"/>
  </mergeCells>
  <pageMargins left="0.23622047244094491" right="0.23622047244094491" top="0.74803149606299213" bottom="0.74803149606299213" header="0.31496062992125984" footer="0.31496062992125984"/>
  <pageSetup orientation="landscape" horizontalDpi="4294967292" r:id="rId1"/>
  <headerFooter>
    <oddHeader>&amp;LCONFIANCE INDIA&amp;CPR 2020017116 (TG Spare )&amp;R9 NOV 2023</oddHeader>
    <oddFooter>Page &amp;P of &amp;N</oddFooter>
  </headerFooter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00A34-F2ED-4402-930C-E7621FF98F0F}">
  <dimension ref="A1:P21"/>
  <sheetViews>
    <sheetView tabSelected="1" zoomScaleNormal="100" zoomScaleSheetLayoutView="100" workbookViewId="0">
      <selection activeCell="M8" sqref="M8"/>
    </sheetView>
  </sheetViews>
  <sheetFormatPr defaultColWidth="9.140625" defaultRowHeight="12.75" x14ac:dyDescent="0.2"/>
  <cols>
    <col min="1" max="1" width="5.85546875" style="116" bestFit="1" customWidth="1"/>
    <col min="2" max="2" width="11" style="116" bestFit="1" customWidth="1"/>
    <col min="3" max="3" width="12.140625" style="116" bestFit="1" customWidth="1"/>
    <col min="4" max="4" width="52.42578125" style="116" customWidth="1"/>
    <col min="5" max="5" width="5" style="116" customWidth="1"/>
    <col min="6" max="6" width="8.7109375" style="116" customWidth="1"/>
    <col min="7" max="7" width="14.5703125" style="116" customWidth="1"/>
    <col min="8" max="8" width="18.5703125" style="116" customWidth="1"/>
    <col min="9" max="9" width="13" style="127" customWidth="1"/>
    <col min="10" max="10" width="10.85546875" style="127" bestFit="1" customWidth="1"/>
    <col min="11" max="11" width="16" style="127" bestFit="1" customWidth="1"/>
    <col min="12" max="12" width="20.28515625" style="127" bestFit="1" customWidth="1"/>
    <col min="13" max="13" width="15" style="219" customWidth="1"/>
    <col min="14" max="14" width="14" style="220" bestFit="1" customWidth="1"/>
    <col min="15" max="15" width="17.85546875" style="116" bestFit="1" customWidth="1"/>
    <col min="16" max="16" width="15" style="116" customWidth="1"/>
    <col min="17" max="16384" width="9.140625" style="116"/>
  </cols>
  <sheetData>
    <row r="1" spans="1:16" x14ac:dyDescent="0.2">
      <c r="B1" s="307" t="s">
        <v>1024</v>
      </c>
    </row>
    <row r="2" spans="1:16" s="126" customFormat="1" x14ac:dyDescent="0.25">
      <c r="A2" s="115" t="s">
        <v>0</v>
      </c>
      <c r="B2" s="115" t="s">
        <v>1</v>
      </c>
      <c r="C2" s="115" t="s">
        <v>936</v>
      </c>
      <c r="D2" s="115" t="s">
        <v>2</v>
      </c>
      <c r="E2" s="115" t="s">
        <v>3</v>
      </c>
      <c r="F2" s="115" t="s">
        <v>614</v>
      </c>
      <c r="G2" s="115" t="s">
        <v>615</v>
      </c>
      <c r="H2" s="115" t="s">
        <v>119</v>
      </c>
      <c r="I2" s="252" t="s">
        <v>17</v>
      </c>
      <c r="J2" s="252"/>
      <c r="K2" s="252"/>
      <c r="L2" s="252" t="s">
        <v>990</v>
      </c>
      <c r="M2" s="252" t="s">
        <v>950</v>
      </c>
      <c r="N2" s="252" t="s">
        <v>948</v>
      </c>
      <c r="O2" s="253" t="s">
        <v>947</v>
      </c>
      <c r="P2" s="222" t="s">
        <v>808</v>
      </c>
    </row>
    <row r="3" spans="1:16" s="126" customFormat="1" ht="38.25" x14ac:dyDescent="0.25">
      <c r="A3" s="119">
        <f t="shared" ref="A3:A7" si="0">ROW()-1</f>
        <v>2</v>
      </c>
      <c r="B3" s="167">
        <v>50680</v>
      </c>
      <c r="C3" s="167" t="s">
        <v>635</v>
      </c>
      <c r="D3" s="237" t="s">
        <v>946</v>
      </c>
      <c r="E3" s="167" t="s">
        <v>989</v>
      </c>
      <c r="F3" s="167">
        <v>4</v>
      </c>
      <c r="G3" s="246">
        <f>130*I3</f>
        <v>19500</v>
      </c>
      <c r="H3" s="246">
        <f>G3*F3</f>
        <v>78000</v>
      </c>
      <c r="I3" s="223">
        <v>150</v>
      </c>
      <c r="J3" s="223"/>
      <c r="K3" s="223"/>
      <c r="L3" s="223">
        <v>150</v>
      </c>
      <c r="M3" s="248">
        <v>15000</v>
      </c>
      <c r="N3" s="223">
        <v>125</v>
      </c>
      <c r="O3" s="238" t="s">
        <v>949</v>
      </c>
      <c r="P3" s="167"/>
    </row>
    <row r="4" spans="1:16" s="126" customFormat="1" ht="63.75" x14ac:dyDescent="0.25">
      <c r="A4" s="119">
        <f t="shared" si="0"/>
        <v>3</v>
      </c>
      <c r="B4" s="167">
        <v>50667</v>
      </c>
      <c r="C4" s="167" t="s">
        <v>635</v>
      </c>
      <c r="D4" s="237" t="s">
        <v>951</v>
      </c>
      <c r="E4" s="167" t="s">
        <v>989</v>
      </c>
      <c r="F4" s="167">
        <v>4</v>
      </c>
      <c r="G4" s="246">
        <f>130*I4</f>
        <v>240500</v>
      </c>
      <c r="H4" s="246">
        <f>G4*F4</f>
        <v>962000</v>
      </c>
      <c r="I4" s="211">
        <v>1850</v>
      </c>
      <c r="J4" s="211"/>
      <c r="K4" s="211"/>
      <c r="L4" s="211">
        <v>1850</v>
      </c>
      <c r="M4" s="254"/>
      <c r="N4" s="123" t="s">
        <v>1018</v>
      </c>
      <c r="O4" s="123"/>
      <c r="P4" s="223">
        <v>6900</v>
      </c>
    </row>
    <row r="5" spans="1:16" s="128" customFormat="1" x14ac:dyDescent="0.2">
      <c r="A5" s="119">
        <f t="shared" si="0"/>
        <v>4</v>
      </c>
      <c r="B5" s="356" t="s">
        <v>7</v>
      </c>
      <c r="C5" s="357"/>
      <c r="D5" s="357"/>
      <c r="E5" s="357"/>
      <c r="F5" s="357"/>
      <c r="G5" s="358"/>
      <c r="H5" s="138">
        <f>SUM(H3:H4)</f>
        <v>1040000</v>
      </c>
      <c r="I5" s="127"/>
      <c r="J5" s="127"/>
      <c r="K5" s="127"/>
      <c r="L5" s="127"/>
      <c r="M5" s="255"/>
      <c r="N5" s="255"/>
      <c r="O5" s="255"/>
      <c r="P5" s="255"/>
    </row>
    <row r="6" spans="1:16" s="128" customFormat="1" x14ac:dyDescent="0.2">
      <c r="A6" s="119">
        <f t="shared" si="0"/>
        <v>5</v>
      </c>
      <c r="B6" s="356" t="s">
        <v>649</v>
      </c>
      <c r="C6" s="357"/>
      <c r="D6" s="357"/>
      <c r="E6" s="357"/>
      <c r="F6" s="357"/>
      <c r="G6" s="358"/>
      <c r="H6" s="138">
        <f>H5*18%</f>
        <v>187200</v>
      </c>
      <c r="I6" s="127"/>
      <c r="J6" s="127"/>
      <c r="K6" s="127"/>
      <c r="L6" s="127"/>
    </row>
    <row r="7" spans="1:16" s="128" customFormat="1" x14ac:dyDescent="0.2">
      <c r="A7" s="119">
        <f t="shared" si="0"/>
        <v>6</v>
      </c>
      <c r="B7" s="356" t="s">
        <v>8</v>
      </c>
      <c r="C7" s="357"/>
      <c r="D7" s="357"/>
      <c r="E7" s="357"/>
      <c r="F7" s="357"/>
      <c r="G7" s="358"/>
      <c r="H7" s="138">
        <f>H6+H5</f>
        <v>1227200</v>
      </c>
      <c r="I7" s="127"/>
      <c r="J7" s="127"/>
      <c r="K7" s="127"/>
      <c r="L7" s="127"/>
    </row>
    <row r="8" spans="1:16" s="128" customFormat="1" ht="147.75" customHeight="1" x14ac:dyDescent="0.2">
      <c r="A8" s="129" t="s">
        <v>9</v>
      </c>
      <c r="B8" s="359" t="s">
        <v>909</v>
      </c>
      <c r="C8" s="360"/>
      <c r="D8" s="360"/>
      <c r="E8" s="360"/>
      <c r="F8" s="360"/>
      <c r="G8" s="360"/>
      <c r="H8" s="361"/>
      <c r="I8" s="127"/>
      <c r="J8" s="127"/>
      <c r="K8" s="127"/>
      <c r="L8" s="127"/>
      <c r="N8" s="246">
        <f>150*N3</f>
        <v>18750</v>
      </c>
    </row>
    <row r="10" spans="1:16" x14ac:dyDescent="0.2">
      <c r="D10" s="260" t="s">
        <v>994</v>
      </c>
    </row>
    <row r="11" spans="1:16" ht="38.25" x14ac:dyDescent="0.2">
      <c r="C11" s="126" t="s">
        <v>992</v>
      </c>
      <c r="D11" s="259" t="s">
        <v>995</v>
      </c>
      <c r="L11" s="258"/>
    </row>
    <row r="12" spans="1:16" ht="25.5" x14ac:dyDescent="0.2">
      <c r="C12" s="126" t="s">
        <v>993</v>
      </c>
      <c r="D12" s="259" t="s">
        <v>991</v>
      </c>
      <c r="L12" s="258"/>
    </row>
    <row r="15" spans="1:16" x14ac:dyDescent="0.2">
      <c r="B15" s="116" t="s">
        <v>1023</v>
      </c>
    </row>
    <row r="16" spans="1:16" ht="38.25" x14ac:dyDescent="0.2">
      <c r="A16" s="115" t="s">
        <v>0</v>
      </c>
      <c r="B16" s="115" t="s">
        <v>1</v>
      </c>
      <c r="C16" s="115" t="s">
        <v>936</v>
      </c>
      <c r="D16" s="115" t="s">
        <v>2</v>
      </c>
      <c r="E16" s="115" t="s">
        <v>3</v>
      </c>
      <c r="F16" s="115" t="s">
        <v>614</v>
      </c>
      <c r="G16" s="115" t="s">
        <v>615</v>
      </c>
      <c r="H16" s="115" t="s">
        <v>119</v>
      </c>
      <c r="I16" s="315" t="s">
        <v>1025</v>
      </c>
      <c r="J16" s="253" t="s">
        <v>662</v>
      </c>
      <c r="K16" s="253" t="s">
        <v>945</v>
      </c>
      <c r="L16" s="315" t="s">
        <v>1028</v>
      </c>
      <c r="M16" s="252" t="s">
        <v>1026</v>
      </c>
      <c r="N16" s="252" t="s">
        <v>948</v>
      </c>
      <c r="O16" s="222" t="s">
        <v>1027</v>
      </c>
    </row>
    <row r="17" spans="1:16" ht="46.5" customHeight="1" x14ac:dyDescent="0.2">
      <c r="A17" s="115"/>
      <c r="B17" s="167">
        <v>50680</v>
      </c>
      <c r="C17" s="115"/>
      <c r="D17" s="237" t="s">
        <v>946</v>
      </c>
      <c r="E17" s="167" t="s">
        <v>989</v>
      </c>
      <c r="F17" s="167">
        <v>4</v>
      </c>
      <c r="G17" s="250">
        <f>130*I17</f>
        <v>19500</v>
      </c>
      <c r="H17" s="250">
        <f>G17*F17</f>
        <v>78000</v>
      </c>
      <c r="I17" s="312">
        <v>150</v>
      </c>
      <c r="J17" s="115"/>
      <c r="K17" s="115"/>
      <c r="L17" s="312">
        <v>150</v>
      </c>
      <c r="M17" s="318">
        <v>15000</v>
      </c>
      <c r="N17" s="313">
        <v>125</v>
      </c>
      <c r="O17" s="115"/>
    </row>
    <row r="18" spans="1:16" ht="63.75" x14ac:dyDescent="0.2">
      <c r="A18" s="306">
        <f t="shared" ref="A18:A21" si="1">ROW()-1</f>
        <v>17</v>
      </c>
      <c r="B18" s="167">
        <v>50667</v>
      </c>
      <c r="C18" s="167" t="s">
        <v>635</v>
      </c>
      <c r="D18" s="237" t="s">
        <v>951</v>
      </c>
      <c r="E18" s="167" t="s">
        <v>989</v>
      </c>
      <c r="F18" s="167">
        <v>4</v>
      </c>
      <c r="G18" s="250">
        <v>78000</v>
      </c>
      <c r="H18" s="250">
        <f>G18*F18</f>
        <v>312000</v>
      </c>
      <c r="I18" s="250">
        <v>78000</v>
      </c>
      <c r="J18" s="227">
        <v>620</v>
      </c>
      <c r="K18" s="316" t="s">
        <v>988</v>
      </c>
      <c r="L18" s="227">
        <v>1850</v>
      </c>
      <c r="M18" s="254"/>
      <c r="N18" s="314">
        <v>150</v>
      </c>
      <c r="O18" s="223">
        <v>6900</v>
      </c>
    </row>
    <row r="19" spans="1:16" x14ac:dyDescent="0.2">
      <c r="A19" s="308">
        <f t="shared" si="1"/>
        <v>18</v>
      </c>
      <c r="B19" s="362" t="s">
        <v>7</v>
      </c>
      <c r="C19" s="363"/>
      <c r="D19" s="363"/>
      <c r="E19" s="363"/>
      <c r="F19" s="363"/>
      <c r="G19" s="364"/>
      <c r="H19" s="310">
        <f>SUM(H17:H18)</f>
        <v>390000</v>
      </c>
      <c r="L19" s="317"/>
      <c r="M19" s="309"/>
      <c r="N19" s="309"/>
      <c r="O19" s="309"/>
      <c r="P19" s="309"/>
    </row>
    <row r="20" spans="1:16" x14ac:dyDescent="0.2">
      <c r="A20" s="306">
        <f t="shared" si="1"/>
        <v>19</v>
      </c>
      <c r="B20" s="356" t="s">
        <v>649</v>
      </c>
      <c r="C20" s="357"/>
      <c r="D20" s="357"/>
      <c r="E20" s="357"/>
      <c r="F20" s="357"/>
      <c r="G20" s="358"/>
      <c r="H20" s="311">
        <f>H19*18%</f>
        <v>70200</v>
      </c>
      <c r="M20" s="128"/>
      <c r="N20" s="128"/>
      <c r="O20" s="128"/>
      <c r="P20" s="128"/>
    </row>
    <row r="21" spans="1:16" x14ac:dyDescent="0.2">
      <c r="A21" s="306">
        <f t="shared" si="1"/>
        <v>20</v>
      </c>
      <c r="B21" s="356" t="s">
        <v>8</v>
      </c>
      <c r="C21" s="357"/>
      <c r="D21" s="357"/>
      <c r="E21" s="357"/>
      <c r="F21" s="357"/>
      <c r="G21" s="358"/>
      <c r="H21" s="311">
        <f>H20+H19</f>
        <v>460200</v>
      </c>
      <c r="J21" s="317"/>
      <c r="M21" s="128"/>
      <c r="N21" s="128"/>
      <c r="O21" s="128"/>
      <c r="P21" s="128"/>
    </row>
  </sheetData>
  <mergeCells count="7">
    <mergeCell ref="B20:G20"/>
    <mergeCell ref="B21:G21"/>
    <mergeCell ref="B5:G5"/>
    <mergeCell ref="B6:G6"/>
    <mergeCell ref="B7:G7"/>
    <mergeCell ref="B8:H8"/>
    <mergeCell ref="B19:G19"/>
  </mergeCells>
  <hyperlinks>
    <hyperlink ref="O3" r:id="rId1" xr:uid="{8CDF190E-66BB-44E7-911C-79715E55E565}"/>
  </hyperlinks>
  <pageMargins left="0.23622047244094491" right="0.23622047244094491" top="0.74803149606299213" bottom="0.74803149606299213" header="0.31496062992125984" footer="0.31496062992125984"/>
  <pageSetup orientation="landscape" horizontalDpi="4294967292" r:id="rId2"/>
  <headerFooter>
    <oddHeader>&amp;LCONFIANCE INDIA&amp;CPR 2020017116 (TG Spare )&amp;R9 NOV 2023</oddHeader>
    <oddFooter>Page &amp;P of &amp;N</oddFooter>
  </headerFooter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05CE8-CA0A-4F33-AE3E-32DA7D17398A}">
  <dimension ref="A1:O19"/>
  <sheetViews>
    <sheetView zoomScaleNormal="100" zoomScaleSheetLayoutView="100" workbookViewId="0">
      <selection activeCell="G1" sqref="G1:H1"/>
    </sheetView>
  </sheetViews>
  <sheetFormatPr defaultColWidth="9.140625" defaultRowHeight="12.75" x14ac:dyDescent="0.2"/>
  <cols>
    <col min="1" max="1" width="5.85546875" style="116" bestFit="1" customWidth="1"/>
    <col min="2" max="2" width="13.28515625" style="116" bestFit="1" customWidth="1"/>
    <col min="3" max="3" width="12.140625" style="116" bestFit="1" customWidth="1"/>
    <col min="4" max="4" width="52.42578125" style="116" customWidth="1"/>
    <col min="5" max="5" width="5" style="116" bestFit="1" customWidth="1"/>
    <col min="6" max="6" width="8.7109375" style="116" customWidth="1"/>
    <col min="7" max="7" width="14.5703125" style="116" customWidth="1"/>
    <col min="8" max="8" width="18.5703125" style="116" customWidth="1"/>
    <col min="9" max="9" width="22" style="127" bestFit="1" customWidth="1"/>
    <col min="10" max="10" width="12.42578125" style="116" bestFit="1" customWidth="1"/>
    <col min="11" max="11" width="20.85546875" style="116" bestFit="1" customWidth="1"/>
    <col min="12" max="14" width="9.140625" style="116"/>
    <col min="15" max="15" width="31.42578125" style="116" bestFit="1" customWidth="1"/>
    <col min="16" max="16384" width="9.140625" style="116"/>
  </cols>
  <sheetData>
    <row r="1" spans="1:15" s="126" customFormat="1" x14ac:dyDescent="0.25">
      <c r="A1" s="115" t="s">
        <v>0</v>
      </c>
      <c r="B1" s="115" t="s">
        <v>1</v>
      </c>
      <c r="C1" s="115" t="s">
        <v>936</v>
      </c>
      <c r="D1" s="115" t="s">
        <v>2</v>
      </c>
      <c r="E1" s="115" t="s">
        <v>3</v>
      </c>
      <c r="F1" s="115" t="s">
        <v>614</v>
      </c>
      <c r="G1" s="115" t="s">
        <v>615</v>
      </c>
      <c r="H1" s="115" t="s">
        <v>119</v>
      </c>
      <c r="I1" s="115" t="s">
        <v>17</v>
      </c>
      <c r="K1" s="126" t="s">
        <v>961</v>
      </c>
    </row>
    <row r="2" spans="1:15" s="126" customFormat="1" ht="102" x14ac:dyDescent="0.25">
      <c r="A2" s="119">
        <f t="shared" ref="A2:A11" si="0">ROW()-1</f>
        <v>1</v>
      </c>
      <c r="B2" s="167">
        <v>50247</v>
      </c>
      <c r="C2" s="167" t="s">
        <v>635</v>
      </c>
      <c r="D2" s="237" t="s">
        <v>953</v>
      </c>
      <c r="E2" s="167" t="s">
        <v>619</v>
      </c>
      <c r="F2" s="167">
        <v>2</v>
      </c>
      <c r="G2" s="167">
        <f>I2</f>
        <v>0</v>
      </c>
      <c r="H2" s="167">
        <f>G2*F2</f>
        <v>0</v>
      </c>
      <c r="I2" s="153"/>
      <c r="K2" s="142">
        <v>130</v>
      </c>
      <c r="N2" s="126" t="s">
        <v>965</v>
      </c>
      <c r="O2" s="126" t="s">
        <v>966</v>
      </c>
    </row>
    <row r="3" spans="1:15" s="126" customFormat="1" ht="89.25" x14ac:dyDescent="0.25">
      <c r="A3" s="119">
        <f t="shared" si="0"/>
        <v>2</v>
      </c>
      <c r="B3" s="167" t="s">
        <v>952</v>
      </c>
      <c r="C3" s="167" t="s">
        <v>635</v>
      </c>
      <c r="D3" s="237" t="s">
        <v>954</v>
      </c>
      <c r="E3" s="167" t="s">
        <v>619</v>
      </c>
      <c r="F3" s="167">
        <v>2</v>
      </c>
      <c r="G3" s="167">
        <f t="shared" ref="G3:G8" si="1">I3</f>
        <v>0</v>
      </c>
      <c r="H3" s="167">
        <f t="shared" ref="H3:H8" si="2">G3*F3</f>
        <v>0</v>
      </c>
      <c r="I3" s="173"/>
      <c r="K3" s="142">
        <v>290</v>
      </c>
    </row>
    <row r="4" spans="1:15" s="126" customFormat="1" ht="102" x14ac:dyDescent="0.25">
      <c r="A4" s="119">
        <f t="shared" si="0"/>
        <v>3</v>
      </c>
      <c r="B4" s="167" t="s">
        <v>952</v>
      </c>
      <c r="C4" s="167" t="s">
        <v>635</v>
      </c>
      <c r="D4" s="237" t="s">
        <v>955</v>
      </c>
      <c r="E4" s="167" t="s">
        <v>619</v>
      </c>
      <c r="F4" s="167">
        <v>2</v>
      </c>
      <c r="G4" s="167">
        <f t="shared" si="1"/>
        <v>0</v>
      </c>
      <c r="H4" s="167">
        <f t="shared" si="2"/>
        <v>0</v>
      </c>
      <c r="I4" s="173"/>
      <c r="K4" s="142">
        <v>345</v>
      </c>
    </row>
    <row r="5" spans="1:15" s="126" customFormat="1" ht="102" x14ac:dyDescent="0.25">
      <c r="A5" s="119">
        <f t="shared" si="0"/>
        <v>4</v>
      </c>
      <c r="B5" s="167" t="s">
        <v>952</v>
      </c>
      <c r="C5" s="167" t="s">
        <v>635</v>
      </c>
      <c r="D5" s="237" t="s">
        <v>956</v>
      </c>
      <c r="E5" s="167" t="s">
        <v>619</v>
      </c>
      <c r="F5" s="167">
        <v>2</v>
      </c>
      <c r="G5" s="167">
        <f t="shared" si="1"/>
        <v>0</v>
      </c>
      <c r="H5" s="167">
        <f t="shared" si="2"/>
        <v>0</v>
      </c>
      <c r="I5" s="173"/>
      <c r="K5" s="142">
        <v>345</v>
      </c>
    </row>
    <row r="6" spans="1:15" s="126" customFormat="1" ht="102" x14ac:dyDescent="0.25">
      <c r="A6" s="119">
        <f t="shared" si="0"/>
        <v>5</v>
      </c>
      <c r="B6" s="167" t="s">
        <v>952</v>
      </c>
      <c r="C6" s="167" t="s">
        <v>635</v>
      </c>
      <c r="D6" s="237" t="s">
        <v>957</v>
      </c>
      <c r="E6" s="167" t="s">
        <v>619</v>
      </c>
      <c r="F6" s="167">
        <v>2</v>
      </c>
      <c r="G6" s="167">
        <f t="shared" si="1"/>
        <v>0</v>
      </c>
      <c r="H6" s="167">
        <f t="shared" si="2"/>
        <v>0</v>
      </c>
      <c r="I6" s="173"/>
      <c r="K6" s="142" t="s">
        <v>964</v>
      </c>
    </row>
    <row r="7" spans="1:15" s="126" customFormat="1" ht="102" x14ac:dyDescent="0.25">
      <c r="A7" s="119">
        <f t="shared" si="0"/>
        <v>6</v>
      </c>
      <c r="B7" s="167">
        <v>50715</v>
      </c>
      <c r="C7" s="167" t="s">
        <v>635</v>
      </c>
      <c r="D7" s="237" t="s">
        <v>958</v>
      </c>
      <c r="E7" s="167" t="s">
        <v>619</v>
      </c>
      <c r="F7" s="167">
        <v>1</v>
      </c>
      <c r="G7" s="167">
        <f t="shared" si="1"/>
        <v>0</v>
      </c>
      <c r="H7" s="167">
        <f t="shared" si="2"/>
        <v>0</v>
      </c>
      <c r="I7" s="173"/>
      <c r="K7" s="142" t="s">
        <v>962</v>
      </c>
    </row>
    <row r="8" spans="1:15" s="126" customFormat="1" ht="165.75" x14ac:dyDescent="0.25">
      <c r="A8" s="119">
        <f t="shared" si="0"/>
        <v>7</v>
      </c>
      <c r="B8" s="167">
        <v>50739</v>
      </c>
      <c r="C8" s="167" t="s">
        <v>635</v>
      </c>
      <c r="D8" s="237" t="s">
        <v>959</v>
      </c>
      <c r="E8" s="167" t="s">
        <v>619</v>
      </c>
      <c r="F8" s="167">
        <v>2</v>
      </c>
      <c r="G8" s="167">
        <f t="shared" si="1"/>
        <v>0</v>
      </c>
      <c r="H8" s="167">
        <f t="shared" si="2"/>
        <v>0</v>
      </c>
      <c r="I8" s="173"/>
      <c r="K8" s="239" t="s">
        <v>963</v>
      </c>
    </row>
    <row r="9" spans="1:15" s="128" customFormat="1" x14ac:dyDescent="0.2">
      <c r="A9" s="119">
        <f t="shared" si="0"/>
        <v>8</v>
      </c>
      <c r="B9" s="356" t="s">
        <v>7</v>
      </c>
      <c r="C9" s="357"/>
      <c r="D9" s="357"/>
      <c r="E9" s="357"/>
      <c r="F9" s="357"/>
      <c r="G9" s="358"/>
      <c r="H9" s="138">
        <f>SUM(H2:H8)</f>
        <v>0</v>
      </c>
      <c r="I9" s="127"/>
    </row>
    <row r="10" spans="1:15" s="128" customFormat="1" x14ac:dyDescent="0.2">
      <c r="A10" s="119">
        <f t="shared" si="0"/>
        <v>9</v>
      </c>
      <c r="B10" s="356" t="s">
        <v>649</v>
      </c>
      <c r="C10" s="357"/>
      <c r="D10" s="357"/>
      <c r="E10" s="357"/>
      <c r="F10" s="357"/>
      <c r="G10" s="358"/>
      <c r="H10" s="138">
        <f>H9*18%</f>
        <v>0</v>
      </c>
      <c r="I10" s="127"/>
    </row>
    <row r="11" spans="1:15" s="128" customFormat="1" x14ac:dyDescent="0.2">
      <c r="A11" s="119">
        <f t="shared" si="0"/>
        <v>10</v>
      </c>
      <c r="B11" s="356" t="s">
        <v>8</v>
      </c>
      <c r="C11" s="357"/>
      <c r="D11" s="357"/>
      <c r="E11" s="357"/>
      <c r="F11" s="357"/>
      <c r="G11" s="358"/>
      <c r="H11" s="138">
        <f>H10+H9</f>
        <v>0</v>
      </c>
      <c r="I11" s="127"/>
    </row>
    <row r="12" spans="1:15" s="128" customFormat="1" ht="147.75" customHeight="1" x14ac:dyDescent="0.2">
      <c r="A12" s="129" t="s">
        <v>9</v>
      </c>
      <c r="B12" s="359" t="s">
        <v>909</v>
      </c>
      <c r="C12" s="360"/>
      <c r="D12" s="360"/>
      <c r="E12" s="360"/>
      <c r="F12" s="360"/>
      <c r="G12" s="360"/>
      <c r="H12" s="361"/>
      <c r="I12" s="127"/>
    </row>
    <row r="14" spans="1:15" x14ac:dyDescent="0.2">
      <c r="D14" s="221"/>
    </row>
    <row r="19" spans="4:4" x14ac:dyDescent="0.2">
      <c r="D19" s="116" t="s">
        <v>960</v>
      </c>
    </row>
  </sheetData>
  <mergeCells count="4">
    <mergeCell ref="B9:G9"/>
    <mergeCell ref="B10:G10"/>
    <mergeCell ref="B11:G11"/>
    <mergeCell ref="B12:H12"/>
  </mergeCells>
  <pageMargins left="0.23622047244094491" right="0.23622047244094491" top="0.74803149606299213" bottom="0.74803149606299213" header="0.31496062992125984" footer="0.31496062992125984"/>
  <pageSetup orientation="landscape" horizontalDpi="4294967292" r:id="rId1"/>
  <headerFooter>
    <oddHeader>&amp;LCONFIANCE INDIA&amp;CPR 2020017116 (TG Spare )&amp;R9 NOV 2023</oddHeader>
    <oddFooter>Page &amp;P of &amp;N</oddFooter>
  </headerFooter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D7788-5B15-4954-83C7-DCA607FF8733}">
  <dimension ref="A1:N10"/>
  <sheetViews>
    <sheetView zoomScaleNormal="100" zoomScaleSheetLayoutView="100" workbookViewId="0">
      <selection activeCell="H24" sqref="H24"/>
    </sheetView>
  </sheetViews>
  <sheetFormatPr defaultColWidth="9.140625" defaultRowHeight="12.75" x14ac:dyDescent="0.2"/>
  <cols>
    <col min="1" max="1" width="9.140625" style="269"/>
    <col min="2" max="2" width="21.85546875" style="269" bestFit="1" customWidth="1"/>
    <col min="3" max="3" width="10.140625" style="269" bestFit="1" customWidth="1"/>
    <col min="4" max="4" width="58.7109375" style="269" customWidth="1"/>
    <col min="5" max="6" width="9.140625" style="280"/>
    <col min="7" max="7" width="11.5703125" style="280" bestFit="1" customWidth="1"/>
    <col min="8" max="8" width="14.85546875" style="280" bestFit="1" customWidth="1"/>
    <col min="9" max="9" width="11.5703125" style="269" bestFit="1" customWidth="1"/>
    <col min="10" max="10" width="20.42578125" style="269" bestFit="1" customWidth="1"/>
    <col min="11" max="11" width="15.140625" style="280" bestFit="1" customWidth="1"/>
    <col min="12" max="12" width="14.5703125" style="269" bestFit="1" customWidth="1"/>
    <col min="13" max="13" width="20.42578125" style="269" bestFit="1" customWidth="1"/>
    <col min="14" max="16384" width="9.140625" style="269"/>
  </cols>
  <sheetData>
    <row r="1" spans="1:14" ht="25.5" x14ac:dyDescent="0.2">
      <c r="A1" s="281" t="s">
        <v>1009</v>
      </c>
      <c r="B1" s="281" t="s">
        <v>1008</v>
      </c>
      <c r="C1" s="282" t="s">
        <v>999</v>
      </c>
      <c r="D1" s="283" t="s">
        <v>1000</v>
      </c>
      <c r="E1" s="284" t="s">
        <v>848</v>
      </c>
      <c r="F1" s="284" t="s">
        <v>3</v>
      </c>
      <c r="G1" s="264" t="s">
        <v>615</v>
      </c>
      <c r="H1" s="264" t="s">
        <v>119</v>
      </c>
      <c r="I1" s="265" t="s">
        <v>878</v>
      </c>
      <c r="J1" s="265" t="s">
        <v>1012</v>
      </c>
      <c r="K1" s="266" t="s">
        <v>1013</v>
      </c>
      <c r="L1" s="267" t="s">
        <v>1011</v>
      </c>
      <c r="M1" s="268" t="s">
        <v>945</v>
      </c>
    </row>
    <row r="2" spans="1:14" x14ac:dyDescent="0.2">
      <c r="A2" s="285">
        <v>1</v>
      </c>
      <c r="B2" s="286">
        <v>1200000169</v>
      </c>
      <c r="C2" s="287">
        <v>41002529</v>
      </c>
      <c r="D2" s="288" t="s">
        <v>1001</v>
      </c>
      <c r="E2" s="289">
        <v>20</v>
      </c>
      <c r="F2" s="289" t="s">
        <v>124</v>
      </c>
      <c r="G2" s="270">
        <f>1.5*J2</f>
        <v>68232</v>
      </c>
      <c r="H2" s="290">
        <f t="shared" ref="H2:H7" si="0">G2*E2</f>
        <v>1364640</v>
      </c>
      <c r="I2" s="270">
        <f>1.5*L2</f>
        <v>18711</v>
      </c>
      <c r="J2" s="271">
        <v>45488</v>
      </c>
      <c r="K2" s="272">
        <v>35</v>
      </c>
      <c r="L2" s="273">
        <v>12474</v>
      </c>
      <c r="M2" s="274" t="s">
        <v>1010</v>
      </c>
    </row>
    <row r="3" spans="1:14" x14ac:dyDescent="0.2">
      <c r="A3" s="285">
        <v>2</v>
      </c>
      <c r="B3" s="286">
        <v>1200000169</v>
      </c>
      <c r="C3" s="287">
        <v>41000475</v>
      </c>
      <c r="D3" s="288" t="s">
        <v>1002</v>
      </c>
      <c r="E3" s="289">
        <v>5</v>
      </c>
      <c r="F3" s="289" t="s">
        <v>124</v>
      </c>
      <c r="G3" s="270">
        <f>1.4*J3</f>
        <v>64045.799999999996</v>
      </c>
      <c r="H3" s="290">
        <f t="shared" si="0"/>
        <v>320229</v>
      </c>
      <c r="I3" s="270">
        <f>1.4*L3</f>
        <v>31919.999999999996</v>
      </c>
      <c r="J3" s="275">
        <v>45747</v>
      </c>
      <c r="K3" s="272">
        <v>160</v>
      </c>
      <c r="L3" s="273">
        <f>95*1.5*K3</f>
        <v>22800</v>
      </c>
      <c r="M3" s="274"/>
    </row>
    <row r="4" spans="1:14" ht="25.5" x14ac:dyDescent="0.2">
      <c r="A4" s="285">
        <v>3</v>
      </c>
      <c r="B4" s="286">
        <v>1200000169</v>
      </c>
      <c r="C4" s="287">
        <v>41007910</v>
      </c>
      <c r="D4" s="288" t="s">
        <v>1003</v>
      </c>
      <c r="E4" s="289">
        <v>1</v>
      </c>
      <c r="F4" s="289" t="s">
        <v>124</v>
      </c>
      <c r="G4" s="276"/>
      <c r="H4" s="290">
        <f t="shared" si="0"/>
        <v>0</v>
      </c>
      <c r="I4" s="276"/>
      <c r="J4" s="277"/>
      <c r="K4" s="272"/>
      <c r="L4" s="273"/>
      <c r="M4" s="274" t="s">
        <v>1014</v>
      </c>
    </row>
    <row r="5" spans="1:14" x14ac:dyDescent="0.2">
      <c r="A5" s="285">
        <v>4</v>
      </c>
      <c r="B5" s="286">
        <v>1200000169</v>
      </c>
      <c r="C5" s="287">
        <v>70001267</v>
      </c>
      <c r="D5" s="288" t="s">
        <v>1004</v>
      </c>
      <c r="E5" s="289">
        <v>2</v>
      </c>
      <c r="F5" s="289" t="s">
        <v>1005</v>
      </c>
      <c r="G5" s="270">
        <f>1.5*J5</f>
        <v>68232</v>
      </c>
      <c r="H5" s="290">
        <f t="shared" si="0"/>
        <v>136464</v>
      </c>
      <c r="I5" s="270">
        <f>1.5*L5</f>
        <v>210000</v>
      </c>
      <c r="J5" s="271">
        <v>45488</v>
      </c>
      <c r="K5" s="278">
        <v>458</v>
      </c>
      <c r="L5" s="273">
        <v>140000</v>
      </c>
      <c r="M5" s="274"/>
    </row>
    <row r="6" spans="1:14" ht="38.25" x14ac:dyDescent="0.2">
      <c r="A6" s="285">
        <v>5</v>
      </c>
      <c r="B6" s="286">
        <v>1200000169</v>
      </c>
      <c r="C6" s="287">
        <v>41007911</v>
      </c>
      <c r="D6" s="288" t="s">
        <v>1006</v>
      </c>
      <c r="E6" s="289">
        <v>24</v>
      </c>
      <c r="F6" s="289" t="s">
        <v>124</v>
      </c>
      <c r="G6" s="270">
        <f>1.4*J6</f>
        <v>64045.799999999996</v>
      </c>
      <c r="H6" s="290">
        <f t="shared" si="0"/>
        <v>1537099.2</v>
      </c>
      <c r="I6" s="270">
        <f>1.4*L6</f>
        <v>23940</v>
      </c>
      <c r="J6" s="275">
        <v>45747</v>
      </c>
      <c r="K6" s="272">
        <v>120</v>
      </c>
      <c r="L6" s="273">
        <f>95*1.5*K6</f>
        <v>17100</v>
      </c>
      <c r="M6" s="274"/>
      <c r="N6" s="279"/>
    </row>
    <row r="7" spans="1:14" ht="38.25" x14ac:dyDescent="0.2">
      <c r="A7" s="285">
        <v>6</v>
      </c>
      <c r="B7" s="286">
        <v>1200000169</v>
      </c>
      <c r="C7" s="287">
        <v>41007912</v>
      </c>
      <c r="D7" s="291" t="s">
        <v>1007</v>
      </c>
      <c r="E7" s="292">
        <v>36</v>
      </c>
      <c r="F7" s="292" t="s">
        <v>124</v>
      </c>
      <c r="G7" s="293">
        <f>1.4*J7</f>
        <v>64045.799999999996</v>
      </c>
      <c r="H7" s="294">
        <f t="shared" si="0"/>
        <v>2305648.7999999998</v>
      </c>
      <c r="I7" s="293">
        <f>1.4*L7</f>
        <v>23940</v>
      </c>
      <c r="J7" s="275">
        <v>45747</v>
      </c>
      <c r="K7" s="272">
        <v>120</v>
      </c>
      <c r="L7" s="273">
        <f>95*1.5*K7</f>
        <v>17100</v>
      </c>
      <c r="M7" s="274"/>
    </row>
    <row r="8" spans="1:14" x14ac:dyDescent="0.2">
      <c r="D8" s="295" t="s">
        <v>1015</v>
      </c>
      <c r="E8" s="296"/>
      <c r="F8" s="296"/>
      <c r="G8" s="296"/>
      <c r="H8" s="297">
        <f>SUM(H2:H7)</f>
        <v>5664081</v>
      </c>
      <c r="I8" s="295"/>
    </row>
    <row r="9" spans="1:14" x14ac:dyDescent="0.2">
      <c r="D9" s="295" t="s">
        <v>1016</v>
      </c>
      <c r="E9" s="296"/>
      <c r="F9" s="296"/>
      <c r="G9" s="296"/>
      <c r="H9" s="298">
        <f>H8*18%</f>
        <v>1019534.58</v>
      </c>
      <c r="I9" s="295"/>
    </row>
    <row r="10" spans="1:14" x14ac:dyDescent="0.2">
      <c r="D10" s="295" t="s">
        <v>1017</v>
      </c>
      <c r="E10" s="296"/>
      <c r="F10" s="296"/>
      <c r="G10" s="296"/>
      <c r="H10" s="298">
        <f>H9+H8</f>
        <v>6683615.5800000001</v>
      </c>
      <c r="I10" s="295"/>
    </row>
  </sheetData>
  <pageMargins left="0.23622047244094491" right="0.23622047244094491" top="0.74803149606299213" bottom="0.74803149606299213" header="0.31496062992125984" footer="0.31496062992125984"/>
  <pageSetup orientation="landscape" horizontalDpi="4294967292" r:id="rId1"/>
  <headerFooter>
    <oddHeader>&amp;LCONFIANCE INDIA&amp;CPR 2020017116 (TG Spare )&amp;R9 NOV 2023</oddHeader>
    <oddFooter>Page &amp;P of &amp;N</oddFooter>
  </headerFooter>
  <ignoredErrors>
    <ignoredError sqref="H2:H7" formula="1"/>
  </ignoredErrors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6BB48-6267-4E19-B716-377F63CA6165}">
  <dimension ref="A1:L8"/>
  <sheetViews>
    <sheetView zoomScaleNormal="100" zoomScaleSheetLayoutView="100" workbookViewId="0">
      <selection activeCell="D2" sqref="D2"/>
    </sheetView>
  </sheetViews>
  <sheetFormatPr defaultColWidth="9.140625" defaultRowHeight="12.75" x14ac:dyDescent="0.2"/>
  <cols>
    <col min="1" max="1" width="5.85546875" style="116" bestFit="1" customWidth="1"/>
    <col min="2" max="2" width="11" style="116" bestFit="1" customWidth="1"/>
    <col min="3" max="3" width="12.140625" style="116" bestFit="1" customWidth="1"/>
    <col min="4" max="4" width="57" style="116" customWidth="1"/>
    <col min="5" max="5" width="5" style="116" bestFit="1" customWidth="1"/>
    <col min="6" max="6" width="8.7109375" style="116" customWidth="1"/>
    <col min="7" max="7" width="14.5703125" style="116" customWidth="1"/>
    <col min="8" max="8" width="18.5703125" style="116" customWidth="1"/>
    <col min="9" max="9" width="22" style="127" bestFit="1" customWidth="1"/>
    <col min="10" max="10" width="17.140625" style="77" customWidth="1"/>
    <col min="11" max="11" width="12.28515625" style="219" bestFit="1" customWidth="1"/>
    <col min="12" max="12" width="19.42578125" style="220" bestFit="1" customWidth="1"/>
    <col min="13" max="14" width="12.42578125" style="116" bestFit="1" customWidth="1"/>
    <col min="15" max="16384" width="9.140625" style="116"/>
  </cols>
  <sheetData>
    <row r="1" spans="1:12" s="126" customFormat="1" x14ac:dyDescent="0.25">
      <c r="A1" s="115" t="s">
        <v>0</v>
      </c>
      <c r="B1" s="115" t="s">
        <v>1</v>
      </c>
      <c r="C1" s="115" t="s">
        <v>936</v>
      </c>
      <c r="D1" s="115" t="s">
        <v>2</v>
      </c>
      <c r="E1" s="115" t="s">
        <v>3</v>
      </c>
      <c r="F1" s="115" t="s">
        <v>614</v>
      </c>
      <c r="G1" s="115" t="s">
        <v>615</v>
      </c>
      <c r="H1" s="115" t="s">
        <v>119</v>
      </c>
      <c r="I1" s="222" t="s">
        <v>878</v>
      </c>
      <c r="J1" s="302" t="s">
        <v>1020</v>
      </c>
      <c r="K1" s="303"/>
      <c r="L1" s="134"/>
    </row>
    <row r="2" spans="1:12" s="126" customFormat="1" ht="131.25" x14ac:dyDescent="0.25">
      <c r="A2" s="115"/>
      <c r="B2" s="245">
        <v>1200001696</v>
      </c>
      <c r="C2" s="299">
        <v>41000249</v>
      </c>
      <c r="D2" s="217" t="s">
        <v>1019</v>
      </c>
      <c r="E2" s="121" t="s">
        <v>619</v>
      </c>
      <c r="F2" s="121">
        <v>20</v>
      </c>
      <c r="G2" s="250">
        <f>150*I2</f>
        <v>18000</v>
      </c>
      <c r="H2" s="250">
        <f>G2*F2</f>
        <v>360000</v>
      </c>
      <c r="I2" s="304">
        <v>120</v>
      </c>
      <c r="J2" s="304">
        <v>75</v>
      </c>
      <c r="K2" s="254"/>
    </row>
    <row r="3" spans="1:12" s="128" customFormat="1" x14ac:dyDescent="0.2">
      <c r="A3" s="119">
        <f t="shared" ref="A3:A5" si="0">ROW()-1</f>
        <v>2</v>
      </c>
      <c r="B3" s="356" t="s">
        <v>7</v>
      </c>
      <c r="C3" s="357"/>
      <c r="D3" s="357"/>
      <c r="E3" s="357"/>
      <c r="F3" s="363"/>
      <c r="G3" s="364"/>
      <c r="H3" s="301">
        <f>SUM(H2:H2)</f>
        <v>360000</v>
      </c>
      <c r="I3" s="127"/>
      <c r="J3" s="77"/>
    </row>
    <row r="4" spans="1:12" s="128" customFormat="1" x14ac:dyDescent="0.2">
      <c r="A4" s="119">
        <f t="shared" si="0"/>
        <v>3</v>
      </c>
      <c r="B4" s="356" t="s">
        <v>649</v>
      </c>
      <c r="C4" s="357"/>
      <c r="D4" s="357"/>
      <c r="E4" s="357"/>
      <c r="F4" s="357"/>
      <c r="G4" s="358"/>
      <c r="H4" s="138">
        <f>H3*18%</f>
        <v>64800</v>
      </c>
      <c r="I4" s="127"/>
      <c r="J4" s="77"/>
    </row>
    <row r="5" spans="1:12" s="128" customFormat="1" x14ac:dyDescent="0.2">
      <c r="A5" s="119">
        <f t="shared" si="0"/>
        <v>4</v>
      </c>
      <c r="B5" s="356" t="s">
        <v>8</v>
      </c>
      <c r="C5" s="357"/>
      <c r="D5" s="357"/>
      <c r="E5" s="357"/>
      <c r="F5" s="357"/>
      <c r="G5" s="358"/>
      <c r="H5" s="138">
        <f>H4+H3</f>
        <v>424800</v>
      </c>
      <c r="I5" s="127"/>
      <c r="J5" s="77"/>
    </row>
    <row r="6" spans="1:12" s="128" customFormat="1" ht="147.75" customHeight="1" x14ac:dyDescent="0.2">
      <c r="A6" s="129" t="s">
        <v>9</v>
      </c>
      <c r="B6" s="359" t="s">
        <v>909</v>
      </c>
      <c r="C6" s="360"/>
      <c r="D6" s="360"/>
      <c r="E6" s="360"/>
      <c r="F6" s="360"/>
      <c r="G6" s="360"/>
      <c r="H6" s="361"/>
      <c r="I6" s="127"/>
      <c r="J6" s="127"/>
      <c r="L6" s="130"/>
    </row>
    <row r="8" spans="1:12" x14ac:dyDescent="0.2">
      <c r="D8" s="221"/>
    </row>
  </sheetData>
  <mergeCells count="4">
    <mergeCell ref="B3:G3"/>
    <mergeCell ref="B4:G4"/>
    <mergeCell ref="B5:G5"/>
    <mergeCell ref="B6:H6"/>
  </mergeCells>
  <pageMargins left="0.23622047244094491" right="0.23622047244094491" top="0.74803149606299213" bottom="0.74803149606299213" header="0.31496062992125984" footer="0.31496062992125984"/>
  <pageSetup orientation="landscape" horizontalDpi="4294967292" r:id="rId1"/>
  <headerFooter>
    <oddHeader>&amp;LCONFIANCE INDIA&amp;CPR 2020017116 (TG Spare )&amp;R9 NOV 2023</oddHeader>
    <oddFooter>Page &amp;P of &amp;N</oddFooter>
  </headerFooter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227B7-A83F-47CD-AE56-4E55AC75B04C}">
  <dimension ref="A1:L9"/>
  <sheetViews>
    <sheetView zoomScaleNormal="100" zoomScaleSheetLayoutView="100" workbookViewId="0">
      <selection activeCell="N9" sqref="N9"/>
    </sheetView>
  </sheetViews>
  <sheetFormatPr defaultColWidth="9.140625" defaultRowHeight="12.75" x14ac:dyDescent="0.2"/>
  <cols>
    <col min="1" max="1" width="5.85546875" style="116" bestFit="1" customWidth="1"/>
    <col min="2" max="2" width="11" style="116" bestFit="1" customWidth="1"/>
    <col min="3" max="3" width="12.140625" style="116" bestFit="1" customWidth="1"/>
    <col min="4" max="4" width="57" style="116" customWidth="1"/>
    <col min="5" max="5" width="5" style="116" bestFit="1" customWidth="1"/>
    <col min="6" max="6" width="8.7109375" style="116" customWidth="1"/>
    <col min="7" max="7" width="14.5703125" style="116" customWidth="1"/>
    <col min="8" max="8" width="18.5703125" style="116" customWidth="1"/>
    <col min="9" max="9" width="22" style="127" bestFit="1" customWidth="1"/>
    <col min="10" max="10" width="17.140625" style="77" customWidth="1"/>
    <col min="11" max="11" width="12.28515625" style="219" bestFit="1" customWidth="1"/>
    <col min="12" max="12" width="19.42578125" style="220" bestFit="1" customWidth="1"/>
    <col min="13" max="14" width="12.42578125" style="116" bestFit="1" customWidth="1"/>
    <col min="15" max="16384" width="9.140625" style="116"/>
  </cols>
  <sheetData>
    <row r="1" spans="1:12" s="126" customFormat="1" x14ac:dyDescent="0.25">
      <c r="A1" s="115" t="s">
        <v>0</v>
      </c>
      <c r="B1" s="115" t="s">
        <v>1</v>
      </c>
      <c r="C1" s="115" t="s">
        <v>936</v>
      </c>
      <c r="D1" s="115" t="s">
        <v>2</v>
      </c>
      <c r="E1" s="115" t="s">
        <v>3</v>
      </c>
      <c r="F1" s="115" t="s">
        <v>614</v>
      </c>
      <c r="G1" s="115" t="s">
        <v>615</v>
      </c>
      <c r="H1" s="115" t="s">
        <v>119</v>
      </c>
      <c r="I1" s="222" t="s">
        <v>878</v>
      </c>
      <c r="J1" s="302" t="s">
        <v>10</v>
      </c>
      <c r="K1" s="303"/>
      <c r="L1" s="134"/>
    </row>
    <row r="2" spans="1:12" s="126" customFormat="1" ht="38.25" x14ac:dyDescent="0.25">
      <c r="A2" s="115">
        <v>1</v>
      </c>
      <c r="B2" s="167">
        <v>1200001246</v>
      </c>
      <c r="C2" s="167">
        <v>41011741</v>
      </c>
      <c r="D2" s="237" t="s">
        <v>1021</v>
      </c>
      <c r="E2" s="167" t="s">
        <v>619</v>
      </c>
      <c r="F2" s="167">
        <v>4</v>
      </c>
      <c r="G2" s="250">
        <f>135*I2</f>
        <v>46440</v>
      </c>
      <c r="H2" s="250">
        <f>G2*F2</f>
        <v>185760</v>
      </c>
      <c r="I2" s="304">
        <v>344</v>
      </c>
      <c r="J2" s="304">
        <v>344</v>
      </c>
      <c r="K2" s="115"/>
      <c r="L2" s="134"/>
    </row>
    <row r="3" spans="1:12" s="126" customFormat="1" ht="93.75" x14ac:dyDescent="0.25">
      <c r="A3" s="115">
        <v>2</v>
      </c>
      <c r="B3" s="167">
        <v>1200001246</v>
      </c>
      <c r="C3" s="167">
        <v>41011741</v>
      </c>
      <c r="D3" s="305" t="s">
        <v>1022</v>
      </c>
      <c r="E3" s="121" t="s">
        <v>619</v>
      </c>
      <c r="F3" s="121">
        <v>6</v>
      </c>
      <c r="G3" s="250">
        <f>135*I3</f>
        <v>31860</v>
      </c>
      <c r="H3" s="250">
        <f>G3*F3</f>
        <v>191160</v>
      </c>
      <c r="I3" s="304">
        <v>236</v>
      </c>
      <c r="J3" s="304">
        <v>236</v>
      </c>
      <c r="K3" s="254"/>
    </row>
    <row r="4" spans="1:12" s="128" customFormat="1" x14ac:dyDescent="0.2">
      <c r="A4" s="300">
        <f t="shared" ref="A4:A6" si="0">ROW()-1</f>
        <v>3</v>
      </c>
      <c r="B4" s="356" t="s">
        <v>7</v>
      </c>
      <c r="C4" s="357"/>
      <c r="D4" s="357"/>
      <c r="E4" s="357"/>
      <c r="F4" s="363"/>
      <c r="G4" s="364"/>
      <c r="H4" s="301">
        <f>SUM(H2:H3)</f>
        <v>376920</v>
      </c>
      <c r="I4" s="127"/>
      <c r="J4" s="77"/>
    </row>
    <row r="5" spans="1:12" s="128" customFormat="1" x14ac:dyDescent="0.2">
      <c r="A5" s="300">
        <f t="shared" si="0"/>
        <v>4</v>
      </c>
      <c r="B5" s="356" t="s">
        <v>649</v>
      </c>
      <c r="C5" s="357"/>
      <c r="D5" s="357"/>
      <c r="E5" s="357"/>
      <c r="F5" s="357"/>
      <c r="G5" s="358"/>
      <c r="H5" s="138">
        <f>H4*18%</f>
        <v>67845.599999999991</v>
      </c>
      <c r="I5" s="127"/>
      <c r="J5" s="77"/>
    </row>
    <row r="6" spans="1:12" s="128" customFormat="1" x14ac:dyDescent="0.2">
      <c r="A6" s="300">
        <f t="shared" si="0"/>
        <v>5</v>
      </c>
      <c r="B6" s="356" t="s">
        <v>8</v>
      </c>
      <c r="C6" s="357"/>
      <c r="D6" s="357"/>
      <c r="E6" s="357"/>
      <c r="F6" s="357"/>
      <c r="G6" s="358"/>
      <c r="H6" s="138">
        <f>H5+H4</f>
        <v>444765.6</v>
      </c>
      <c r="I6" s="127"/>
      <c r="J6" s="77"/>
    </row>
    <row r="7" spans="1:12" s="128" customFormat="1" ht="147.75" customHeight="1" x14ac:dyDescent="0.2">
      <c r="A7" s="129" t="s">
        <v>9</v>
      </c>
      <c r="B7" s="359" t="s">
        <v>909</v>
      </c>
      <c r="C7" s="360"/>
      <c r="D7" s="360"/>
      <c r="E7" s="360"/>
      <c r="F7" s="360"/>
      <c r="G7" s="360"/>
      <c r="H7" s="361"/>
      <c r="I7" s="127"/>
      <c r="J7" s="127"/>
      <c r="L7" s="130"/>
    </row>
    <row r="9" spans="1:12" x14ac:dyDescent="0.2">
      <c r="D9" s="221"/>
    </row>
  </sheetData>
  <mergeCells count="4">
    <mergeCell ref="B4:G4"/>
    <mergeCell ref="B5:G5"/>
    <mergeCell ref="B6:G6"/>
    <mergeCell ref="B7:H7"/>
  </mergeCells>
  <pageMargins left="0.23622047244094491" right="0.23622047244094491" top="0.74803149606299213" bottom="0.74803149606299213" header="0.31496062992125984" footer="0.31496062992125984"/>
  <pageSetup orientation="landscape" horizontalDpi="4294967292" r:id="rId1"/>
  <headerFooter>
    <oddHeader>&amp;LCONFIANCE INDIA&amp;CPR 2020017116 (TG Spare )&amp;R9 NOV 2023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148</vt:i4>
      </vt:variant>
      <vt:variant>
        <vt:lpstr>Named Ranges</vt:lpstr>
      </vt:variant>
      <vt:variant>
        <vt:i4>139</vt:i4>
      </vt:variant>
    </vt:vector>
  </HeadingPairs>
  <TitlesOfParts>
    <vt:vector size="287" baseType="lpstr">
      <vt:lpstr>PR125</vt:lpstr>
      <vt:lpstr>PR191</vt:lpstr>
      <vt:lpstr>PR131</vt:lpstr>
      <vt:lpstr>Misc</vt:lpstr>
      <vt:lpstr>268</vt:lpstr>
      <vt:lpstr>PR21-105</vt:lpstr>
      <vt:lpstr>BFP Catridge</vt:lpstr>
      <vt:lpstr>PR21-118</vt:lpstr>
      <vt:lpstr>VCB</vt:lpstr>
      <vt:lpstr>UEC</vt:lpstr>
      <vt:lpstr>PR221 &amp; 222</vt:lpstr>
      <vt:lpstr>CT</vt:lpstr>
      <vt:lpstr>PR- 21- 266</vt:lpstr>
      <vt:lpstr>PR- 21- 262</vt:lpstr>
      <vt:lpstr>Oil Seal Saumitra</vt:lpstr>
      <vt:lpstr>Roller Assy</vt:lpstr>
      <vt:lpstr>PR- 21- 264</vt:lpstr>
      <vt:lpstr>PR- 21- 263</vt:lpstr>
      <vt:lpstr>21 280 &amp; 20 268</vt:lpstr>
      <vt:lpstr>Plough</vt:lpstr>
      <vt:lpstr>Siemens Load cell</vt:lpstr>
      <vt:lpstr>372</vt:lpstr>
      <vt:lpstr>Epro</vt:lpstr>
      <vt:lpstr>282</vt:lpstr>
      <vt:lpstr>222</vt:lpstr>
      <vt:lpstr>VSLP 028</vt:lpstr>
      <vt:lpstr>269-2</vt:lpstr>
      <vt:lpstr>278</vt:lpstr>
      <vt:lpstr>SWPL Indicator</vt:lpstr>
      <vt:lpstr>VSLP 118</vt:lpstr>
      <vt:lpstr>Torque card</vt:lpstr>
      <vt:lpstr>SCR Firing</vt:lpstr>
      <vt:lpstr>PR 22 32</vt:lpstr>
      <vt:lpstr>PR 22 58 11</vt:lpstr>
      <vt:lpstr>PR 22 91</vt:lpstr>
      <vt:lpstr>SWPL 102</vt:lpstr>
      <vt:lpstr>SWPL 444</vt:lpstr>
      <vt:lpstr>vslp 148</vt:lpstr>
      <vt:lpstr>vslp 148 SAIC</vt:lpstr>
      <vt:lpstr>vslp 297</vt:lpstr>
      <vt:lpstr>vslp 155</vt:lpstr>
      <vt:lpstr>SWPL Consolidated</vt:lpstr>
      <vt:lpstr>Sheet1</vt:lpstr>
      <vt:lpstr>SWPL 161</vt:lpstr>
      <vt:lpstr>VSLP CHEM 091</vt:lpstr>
      <vt:lpstr>VSLP EMD 229</vt:lpstr>
      <vt:lpstr>VSLP C&amp;I 220</vt:lpstr>
      <vt:lpstr>EMD 252</vt:lpstr>
      <vt:lpstr>MMD 241</vt:lpstr>
      <vt:lpstr>C&amp;I 097</vt:lpstr>
      <vt:lpstr>1100000019</vt:lpstr>
      <vt:lpstr>SWPL Elec-PR-22-58</vt:lpstr>
      <vt:lpstr>1100000214</vt:lpstr>
      <vt:lpstr>SWPL-214</vt:lpstr>
      <vt:lpstr>SWPL-194</vt:lpstr>
      <vt:lpstr>ESp Spares</vt:lpstr>
      <vt:lpstr>Oil Seal 1100000362</vt:lpstr>
      <vt:lpstr>VSLP 372</vt:lpstr>
      <vt:lpstr>Siemens Controller</vt:lpstr>
      <vt:lpstr>1100000459</vt:lpstr>
      <vt:lpstr>PRA010</vt:lpstr>
      <vt:lpstr>22PRA118</vt:lpstr>
      <vt:lpstr>TURBINE-VALVES</vt:lpstr>
      <vt:lpstr>Actuator SWPL</vt:lpstr>
      <vt:lpstr>SWPL HPU</vt:lpstr>
      <vt:lpstr>SWPL XMR Fan</vt:lpstr>
      <vt:lpstr>SWPL ACLOP Vlv</vt:lpstr>
      <vt:lpstr>SWPL YCT Motor</vt:lpstr>
      <vt:lpstr>Oil Seal Ashwajit</vt:lpstr>
      <vt:lpstr>Filter Vishal</vt:lpstr>
      <vt:lpstr>CS-1 Vishal</vt:lpstr>
      <vt:lpstr>23PRA123 VSLP</vt:lpstr>
      <vt:lpstr>Valve repair kit Vishal</vt:lpstr>
      <vt:lpstr>Moog Vishal</vt:lpstr>
      <vt:lpstr>23PRA021</vt:lpstr>
      <vt:lpstr>Vishal Cons June</vt:lpstr>
      <vt:lpstr>23PRA140</vt:lpstr>
      <vt:lpstr>1100000883</vt:lpstr>
      <vt:lpstr>23PRA215</vt:lpstr>
      <vt:lpstr>C&amp;I VSLP Aug</vt:lpstr>
      <vt:lpstr>SWPL TG Spares</vt:lpstr>
      <vt:lpstr>C&amp;I VSLP Add</vt:lpstr>
      <vt:lpstr>C&amp;I VSLP Order</vt:lpstr>
      <vt:lpstr>SWPL Pump</vt:lpstr>
      <vt:lpstr>..1100000883</vt:lpstr>
      <vt:lpstr>SWPL AOH 1100001331</vt:lpstr>
      <vt:lpstr>XJ Panel Spares</vt:lpstr>
      <vt:lpstr>1100001404</vt:lpstr>
      <vt:lpstr>VPC-TB </vt:lpstr>
      <vt:lpstr>1100001375</vt:lpstr>
      <vt:lpstr>1100001351</vt:lpstr>
      <vt:lpstr>OLTC</vt:lpstr>
      <vt:lpstr>1100001313</vt:lpstr>
      <vt:lpstr>1100001244 </vt:lpstr>
      <vt:lpstr>Ash Water Pump</vt:lpstr>
      <vt:lpstr>SWPL YCT Motor (2)</vt:lpstr>
      <vt:lpstr>Turning Gear Spares</vt:lpstr>
      <vt:lpstr>1100001462</vt:lpstr>
      <vt:lpstr>TBEA</vt:lpstr>
      <vt:lpstr>1100001489</vt:lpstr>
      <vt:lpstr>100032 , 100033 &amp; 100044</vt:lpstr>
      <vt:lpstr>GEAR BOX</vt:lpstr>
      <vt:lpstr>1100001706</vt:lpstr>
      <vt:lpstr>PR 21 262</vt:lpstr>
      <vt:lpstr>1100001443</vt:lpstr>
      <vt:lpstr>1100001747</vt:lpstr>
      <vt:lpstr>BUCKET WHEEL DRIVE GEAR BOX</vt:lpstr>
      <vt:lpstr>Skid Motor - Whatsapp</vt:lpstr>
      <vt:lpstr>100321</vt:lpstr>
      <vt:lpstr>100577 100578 100579 100599</vt:lpstr>
      <vt:lpstr>100688</vt:lpstr>
      <vt:lpstr>1100001896</vt:lpstr>
      <vt:lpstr>100569 100716</vt:lpstr>
      <vt:lpstr>1100002072</vt:lpstr>
      <vt:lpstr>1100002028</vt:lpstr>
      <vt:lpstr>1100002135</vt:lpstr>
      <vt:lpstr>100466</vt:lpstr>
      <vt:lpstr>100466 (2)</vt:lpstr>
      <vt:lpstr>1100002089 &amp; 1100002160</vt:lpstr>
      <vt:lpstr>100044</vt:lpstr>
      <vt:lpstr>1100002157 1100002028</vt:lpstr>
      <vt:lpstr>100724</vt:lpstr>
      <vt:lpstr>QUOTATION REQUIRED</vt:lpstr>
      <vt:lpstr>100493</vt:lpstr>
      <vt:lpstr>100023 &amp; 100035</vt:lpstr>
      <vt:lpstr>100706 &amp; 100818</vt:lpstr>
      <vt:lpstr>100044 - Speed Sensors</vt:lpstr>
      <vt:lpstr>High Voltage Motors</vt:lpstr>
      <vt:lpstr>100043</vt:lpstr>
      <vt:lpstr>NR relay display</vt:lpstr>
      <vt:lpstr>1100002028 (2)</vt:lpstr>
      <vt:lpstr>1100002177</vt:lpstr>
      <vt:lpstr>OFFER FOR SWPGPL</vt:lpstr>
      <vt:lpstr>1100002347</vt:lpstr>
      <vt:lpstr>1100002231</vt:lpstr>
      <vt:lpstr>REQUEST FOR OFFER-SWPGPL-TMD</vt:lpstr>
      <vt:lpstr>100044 - Deepak Kumar Namdev</vt:lpstr>
      <vt:lpstr>REQUEST FOR OFFER-SWPGPL - Fehe</vt:lpstr>
      <vt:lpstr>100393</vt:lpstr>
      <vt:lpstr>50024,50042 &amp; 100044</vt:lpstr>
      <vt:lpstr>PR NOS. 50825, 50835 &amp; 50885</vt:lpstr>
      <vt:lpstr>1100003038 </vt:lpstr>
      <vt:lpstr> SUPPLY OF MOV CARD</vt:lpstr>
      <vt:lpstr>50680 &amp; 50667</vt:lpstr>
      <vt:lpstr> 50247, 50248,50715, 50739 &amp; 50</vt:lpstr>
      <vt:lpstr>1200000169 </vt:lpstr>
      <vt:lpstr>1200001696</vt:lpstr>
      <vt:lpstr>1200001246 </vt:lpstr>
      <vt:lpstr>' 50247, 50248,50715, 50739 &amp; 50'!Print_Area</vt:lpstr>
      <vt:lpstr>' SUPPLY OF MOV CARD'!Print_Area</vt:lpstr>
      <vt:lpstr>'..1100000883'!Print_Area</vt:lpstr>
      <vt:lpstr>'100023 &amp; 100035'!Print_Area</vt:lpstr>
      <vt:lpstr>'100032 , 100033 &amp; 100044'!Print_Area</vt:lpstr>
      <vt:lpstr>'100043'!Print_Area</vt:lpstr>
      <vt:lpstr>'100044'!Print_Area</vt:lpstr>
      <vt:lpstr>'100044 - Deepak Kumar Namdev'!Print_Area</vt:lpstr>
      <vt:lpstr>'100044 - Speed Sensors'!Print_Area</vt:lpstr>
      <vt:lpstr>'100321'!Print_Area</vt:lpstr>
      <vt:lpstr>'100393'!Print_Area</vt:lpstr>
      <vt:lpstr>'100466'!Print_Area</vt:lpstr>
      <vt:lpstr>'100466 (2)'!Print_Area</vt:lpstr>
      <vt:lpstr>'100493'!Print_Area</vt:lpstr>
      <vt:lpstr>'100569 100716'!Print_Area</vt:lpstr>
      <vt:lpstr>'100577 100578 100579 100599'!Print_Area</vt:lpstr>
      <vt:lpstr>'100688'!Print_Area</vt:lpstr>
      <vt:lpstr>'100706 &amp; 100818'!Print_Area</vt:lpstr>
      <vt:lpstr>'100724'!Print_Area</vt:lpstr>
      <vt:lpstr>'1100000019'!Print_Area</vt:lpstr>
      <vt:lpstr>'1100000214'!Print_Area</vt:lpstr>
      <vt:lpstr>'1100000459'!Print_Area</vt:lpstr>
      <vt:lpstr>'1100000883'!Print_Area</vt:lpstr>
      <vt:lpstr>'1100001244 '!Print_Area</vt:lpstr>
      <vt:lpstr>'1100001313'!Print_Area</vt:lpstr>
      <vt:lpstr>'1100001351'!Print_Area</vt:lpstr>
      <vt:lpstr>'1100001375'!Print_Area</vt:lpstr>
      <vt:lpstr>'1100001404'!Print_Area</vt:lpstr>
      <vt:lpstr>'1100001443'!Print_Area</vt:lpstr>
      <vt:lpstr>'1100001462'!Print_Area</vt:lpstr>
      <vt:lpstr>'1100001489'!Print_Area</vt:lpstr>
      <vt:lpstr>'1100001706'!Print_Area</vt:lpstr>
      <vt:lpstr>'1100001747'!Print_Area</vt:lpstr>
      <vt:lpstr>'1100001896'!Print_Area</vt:lpstr>
      <vt:lpstr>'1100002028'!Print_Area</vt:lpstr>
      <vt:lpstr>'1100002028 (2)'!Print_Area</vt:lpstr>
      <vt:lpstr>'1100002072'!Print_Area</vt:lpstr>
      <vt:lpstr>'1100002089 &amp; 1100002160'!Print_Area</vt:lpstr>
      <vt:lpstr>'1100002135'!Print_Area</vt:lpstr>
      <vt:lpstr>'1100002157 1100002028'!Print_Area</vt:lpstr>
      <vt:lpstr>'1100003038 '!Print_Area</vt:lpstr>
      <vt:lpstr>'1200001246 '!Print_Area</vt:lpstr>
      <vt:lpstr>'1200001696'!Print_Area</vt:lpstr>
      <vt:lpstr>'21 280 &amp; 20 268'!Print_Area</vt:lpstr>
      <vt:lpstr>'222'!Print_Area</vt:lpstr>
      <vt:lpstr>'22PRA118'!Print_Area</vt:lpstr>
      <vt:lpstr>'23PRA021'!Print_Area</vt:lpstr>
      <vt:lpstr>'23PRA123 VSLP'!Print_Area</vt:lpstr>
      <vt:lpstr>'23PRA140'!Print_Area</vt:lpstr>
      <vt:lpstr>'23PRA215'!Print_Area</vt:lpstr>
      <vt:lpstr>'268'!Print_Area</vt:lpstr>
      <vt:lpstr>'269-2'!Print_Area</vt:lpstr>
      <vt:lpstr>'278'!Print_Area</vt:lpstr>
      <vt:lpstr>'282'!Print_Area</vt:lpstr>
      <vt:lpstr>'372'!Print_Area</vt:lpstr>
      <vt:lpstr>'50024,50042 &amp; 100044'!Print_Area</vt:lpstr>
      <vt:lpstr>'50680 &amp; 50667'!Print_Area</vt:lpstr>
      <vt:lpstr>'Actuator SWPL'!Print_Area</vt:lpstr>
      <vt:lpstr>'Ash Water Pump'!Print_Area</vt:lpstr>
      <vt:lpstr>'BFP Catridge'!Print_Area</vt:lpstr>
      <vt:lpstr>'BUCKET WHEEL DRIVE GEAR BOX'!Print_Area</vt:lpstr>
      <vt:lpstr>'C&amp;I 097'!Print_Area</vt:lpstr>
      <vt:lpstr>'C&amp;I VSLP Add'!Print_Area</vt:lpstr>
      <vt:lpstr>'C&amp;I VSLP Aug'!Print_Area</vt:lpstr>
      <vt:lpstr>'C&amp;I VSLP Order'!Print_Area</vt:lpstr>
      <vt:lpstr>'CS-1 Vishal'!Print_Area</vt:lpstr>
      <vt:lpstr>CT!Print_Area</vt:lpstr>
      <vt:lpstr>'EMD 252'!Print_Area</vt:lpstr>
      <vt:lpstr>Epro!Print_Area</vt:lpstr>
      <vt:lpstr>'ESp Spares'!Print_Area</vt:lpstr>
      <vt:lpstr>'Filter Vishal'!Print_Area</vt:lpstr>
      <vt:lpstr>'GEAR BOX'!Print_Area</vt:lpstr>
      <vt:lpstr>'High Voltage Motors'!Print_Area</vt:lpstr>
      <vt:lpstr>Misc!Print_Area</vt:lpstr>
      <vt:lpstr>'MMD 241'!Print_Area</vt:lpstr>
      <vt:lpstr>'Moog Vishal'!Print_Area</vt:lpstr>
      <vt:lpstr>'NR relay display'!Print_Area</vt:lpstr>
      <vt:lpstr>'Oil Seal 1100000362'!Print_Area</vt:lpstr>
      <vt:lpstr>'Oil Seal Ashwajit'!Print_Area</vt:lpstr>
      <vt:lpstr>'Oil Seal Saumitra'!Print_Area</vt:lpstr>
      <vt:lpstr>OLTC!Print_Area</vt:lpstr>
      <vt:lpstr>Plough!Print_Area</vt:lpstr>
      <vt:lpstr>'PR 21 262'!Print_Area</vt:lpstr>
      <vt:lpstr>'PR- 21- 262'!Print_Area</vt:lpstr>
      <vt:lpstr>'PR- 21- 263'!Print_Area</vt:lpstr>
      <vt:lpstr>'PR- 21- 264'!Print_Area</vt:lpstr>
      <vt:lpstr>'PR- 21- 266'!Print_Area</vt:lpstr>
      <vt:lpstr>'PR 22 32'!Print_Area</vt:lpstr>
      <vt:lpstr>'PR 22 58 11'!Print_Area</vt:lpstr>
      <vt:lpstr>'PR 22 91'!Print_Area</vt:lpstr>
      <vt:lpstr>'PR NOS. 50825, 50835 &amp; 50885'!Print_Area</vt:lpstr>
      <vt:lpstr>'PR125'!Print_Area</vt:lpstr>
      <vt:lpstr>'PR131'!Print_Area</vt:lpstr>
      <vt:lpstr>'PR191'!Print_Area</vt:lpstr>
      <vt:lpstr>'PR21-105'!Print_Area</vt:lpstr>
      <vt:lpstr>'PR21-118'!Print_Area</vt:lpstr>
      <vt:lpstr>'PR221 &amp; 222'!Print_Area</vt:lpstr>
      <vt:lpstr>'PRA010'!Print_Area</vt:lpstr>
      <vt:lpstr>'QUOTATION REQUIRED'!Print_Area</vt:lpstr>
      <vt:lpstr>'Roller Assy'!Print_Area</vt:lpstr>
      <vt:lpstr>'SCR Firing'!Print_Area</vt:lpstr>
      <vt:lpstr>'Siemens Controller'!Print_Area</vt:lpstr>
      <vt:lpstr>'Siemens Load cell'!Print_Area</vt:lpstr>
      <vt:lpstr>'Skid Motor - Whatsapp'!Print_Area</vt:lpstr>
      <vt:lpstr>'SWPL 102'!Print_Area</vt:lpstr>
      <vt:lpstr>'SWPL 161'!Print_Area</vt:lpstr>
      <vt:lpstr>'SWPL 444'!Print_Area</vt:lpstr>
      <vt:lpstr>'SWPL ACLOP Vlv'!Print_Area</vt:lpstr>
      <vt:lpstr>'SWPL AOH 1100001331'!Print_Area</vt:lpstr>
      <vt:lpstr>'SWPL Consolidated'!Print_Area</vt:lpstr>
      <vt:lpstr>'SWPL Elec-PR-22-58'!Print_Area</vt:lpstr>
      <vt:lpstr>'SWPL HPU'!Print_Area</vt:lpstr>
      <vt:lpstr>'SWPL Indicator'!Print_Area</vt:lpstr>
      <vt:lpstr>'SWPL Pump'!Print_Area</vt:lpstr>
      <vt:lpstr>'SWPL TG Spares'!Print_Area</vt:lpstr>
      <vt:lpstr>'SWPL XMR Fan'!Print_Area</vt:lpstr>
      <vt:lpstr>'SWPL YCT Motor'!Print_Area</vt:lpstr>
      <vt:lpstr>'SWPL YCT Motor (2)'!Print_Area</vt:lpstr>
      <vt:lpstr>'SWPL-194'!Print_Area</vt:lpstr>
      <vt:lpstr>'SWPL-214'!Print_Area</vt:lpstr>
      <vt:lpstr>TBEA!Print_Area</vt:lpstr>
      <vt:lpstr>'Torque card'!Print_Area</vt:lpstr>
      <vt:lpstr>'TURBINE-VALVES'!Print_Area</vt:lpstr>
      <vt:lpstr>'Turning Gear Spares'!Print_Area</vt:lpstr>
      <vt:lpstr>UEC!Print_Area</vt:lpstr>
      <vt:lpstr>'Valve repair kit Vishal'!Print_Area</vt:lpstr>
      <vt:lpstr>'Vishal Cons June'!Print_Area</vt:lpstr>
      <vt:lpstr>'VPC-TB '!Print_Area</vt:lpstr>
      <vt:lpstr>'VSLP 028'!Print_Area</vt:lpstr>
      <vt:lpstr>'VSLP 118'!Print_Area</vt:lpstr>
      <vt:lpstr>'vslp 148'!Print_Area</vt:lpstr>
      <vt:lpstr>'vslp 148 SAIC'!Print_Area</vt:lpstr>
      <vt:lpstr>'vslp 155'!Print_Area</vt:lpstr>
      <vt:lpstr>'vslp 297'!Print_Area</vt:lpstr>
      <vt:lpstr>'VSLP 372'!Print_Area</vt:lpstr>
      <vt:lpstr>'VSLP C&amp;I 220'!Print_Area</vt:lpstr>
      <vt:lpstr>'VSLP CHEM 091'!Print_Area</vt:lpstr>
      <vt:lpstr>'VSLP EMD 229'!Print_Area</vt:lpstr>
      <vt:lpstr>'XJ Panel Spares'!Print_Area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2026-10-05T10:43:58Z</dcterms:modified>
</cp:coreProperties>
</file>