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C40CA86-1D13-4ACC-BF02-0A4C4FA5D948}" xr6:coauthVersionLast="47" xr6:coauthVersionMax="47" xr10:uidLastSave="{00000000-0000-0000-0000-000000000000}"/>
  <bookViews>
    <workbookView xWindow="-108" yWindow="-108" windowWidth="23256" windowHeight="12456" firstSheet="68" activeTab="72" xr2:uid="{00000000-000D-0000-FFFF-FFFF00000000}"/>
  </bookViews>
  <sheets>
    <sheet name="428" sheetId="4" r:id="rId1"/>
    <sheet name="428 LATEST" sheetId="6" r:id="rId2"/>
    <sheet name="motors" sheetId="7" r:id="rId3"/>
    <sheet name="Velan" sheetId="9" r:id="rId4"/>
    <sheet name="680 &amp; 840" sheetId="10" r:id="rId5"/>
    <sheet name="Changzhou MOV" sheetId="11" r:id="rId6"/>
    <sheet name="DC Motor-1200000168" sheetId="12" r:id="rId7"/>
    <sheet name="1200000278" sheetId="13" r:id="rId8"/>
    <sheet name="Boiler Tube" sheetId="14" r:id="rId9"/>
    <sheet name="1200000433" sheetId="15" r:id="rId10"/>
    <sheet name="1200000411" sheetId="16" r:id="rId11"/>
    <sheet name="Transformers Fan" sheetId="17" r:id="rId12"/>
    <sheet name="Transformers Fan &amp; Velan" sheetId="18" r:id="rId13"/>
    <sheet name="1200000602" sheetId="19" r:id="rId14"/>
    <sheet name="STI" sheetId="20" r:id="rId15"/>
    <sheet name="1200000719" sheetId="21" r:id="rId16"/>
    <sheet name="HTC SPARES" sheetId="22" r:id="rId17"/>
    <sheet name="Moog Valve" sheetId="23" r:id="rId18"/>
    <sheet name="CRH Gasket" sheetId="24" r:id="rId19"/>
    <sheet name="Yuken" sheetId="25" r:id="rId20"/>
    <sheet name="IPCV" sheetId="26" r:id="rId21"/>
    <sheet name="Eaton 1200001123" sheetId="27" r:id="rId22"/>
    <sheet name="Network Switch" sheetId="28" r:id="rId23"/>
    <sheet name="Maintenance kit Gov Vlv" sheetId="29" r:id="rId24"/>
    <sheet name="STI (2)" sheetId="30" r:id="rId25"/>
    <sheet name="Kratch Pump" sheetId="31" r:id="rId26"/>
    <sheet name="1200001577" sheetId="32" r:id="rId27"/>
    <sheet name="Autronica" sheetId="33" r:id="rId28"/>
    <sheet name="1200000433 Oct 2022 Eaton" sheetId="34" r:id="rId29"/>
    <sheet name="1200000278 Nov 22" sheetId="36" r:id="rId30"/>
    <sheet name="1200000278 Nov 22 (2)" sheetId="37" r:id="rId31"/>
    <sheet name="Moog Valve (2)" sheetId="38" r:id="rId32"/>
    <sheet name="1200001904" sheetId="39" r:id="rId33"/>
    <sheet name="1200001916" sheetId="40" r:id="rId34"/>
    <sheet name="Bladder" sheetId="41" r:id="rId35"/>
    <sheet name="1200002165" sheetId="42" r:id="rId36"/>
    <sheet name="1200002270" sheetId="43" r:id="rId37"/>
    <sheet name="1200002382" sheetId="44" r:id="rId38"/>
    <sheet name="Gen Seal" sheetId="45" r:id="rId39"/>
    <sheet name="1200002387" sheetId="46" r:id="rId40"/>
    <sheet name="Bearing Pins" sheetId="47" r:id="rId41"/>
    <sheet name="Bearing Pins 05102023" sheetId="48" r:id="rId42"/>
    <sheet name="LOP Budgetary" sheetId="49" r:id="rId43"/>
    <sheet name="1200002617 " sheetId="50" r:id="rId44"/>
    <sheet name="1200002627" sheetId="51" r:id="rId45"/>
    <sheet name="1200002916 " sheetId="52" r:id="rId46"/>
    <sheet name="1200002914" sheetId="53" r:id="rId47"/>
    <sheet name="1200002913" sheetId="54" r:id="rId48"/>
    <sheet name="1200002912" sheetId="55" r:id="rId49"/>
    <sheet name="1200002614" sheetId="56" r:id="rId50"/>
    <sheet name="1200002884" sheetId="57" r:id="rId51"/>
    <sheet name="1200002894" sheetId="58" r:id="rId52"/>
    <sheet name="1200001921" sheetId="59" r:id="rId53"/>
    <sheet name="1200002935" sheetId="60" r:id="rId54"/>
    <sheet name="1200002731" sheetId="61" r:id="rId55"/>
    <sheet name="1200002881" sheetId="62" r:id="rId56"/>
    <sheet name="1200002964" sheetId="63" r:id="rId57"/>
    <sheet name="1200003071" sheetId="64" r:id="rId58"/>
    <sheet name="1200003363" sheetId="65" r:id="rId59"/>
    <sheet name="1200003688" sheetId="66" r:id="rId60"/>
    <sheet name="1200003626" sheetId="67" r:id="rId61"/>
    <sheet name="Supply of Exciter Spares" sheetId="68" r:id="rId62"/>
    <sheet name="1200003346" sheetId="72" r:id="rId63"/>
    <sheet name="1200003691" sheetId="71" r:id="rId64"/>
    <sheet name="1200003692" sheetId="70" r:id="rId65"/>
    <sheet name="1200003693" sheetId="69" r:id="rId66"/>
    <sheet name="1200002635" sheetId="73" r:id="rId67"/>
    <sheet name="1200003717" sheetId="74" r:id="rId68"/>
    <sheet name="1200003718" sheetId="75" r:id="rId69"/>
    <sheet name="1200003719" sheetId="76" r:id="rId70"/>
    <sheet name="1200003722" sheetId="77" r:id="rId71"/>
    <sheet name="1200003735" sheetId="78" r:id="rId72"/>
    <sheet name="1200002635 Indragopal Rathi" sheetId="79" r:id="rId73"/>
    <sheet name="RFQ 1200000169" sheetId="80" r:id="rId74"/>
  </sheets>
  <calcPr calcId="191029" iterate="1" iterateCount="1000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80" l="1"/>
  <c r="A8" i="80"/>
  <c r="H7" i="80"/>
  <c r="H8" i="80" s="1"/>
  <c r="H9" i="80" s="1"/>
  <c r="A7" i="80"/>
  <c r="A6" i="80"/>
  <c r="A5" i="80"/>
  <c r="A4" i="80"/>
  <c r="A3" i="80"/>
  <c r="A2" i="80"/>
  <c r="A7" i="79"/>
  <c r="A6" i="79"/>
  <c r="A5" i="79"/>
  <c r="H4" i="79"/>
  <c r="G4" i="79"/>
  <c r="A4" i="79"/>
  <c r="G3" i="79"/>
  <c r="H3" i="79" s="1"/>
  <c r="A3" i="79"/>
  <c r="G2" i="79"/>
  <c r="H2" i="79" s="1"/>
  <c r="H5" i="79" s="1"/>
  <c r="A2" i="79"/>
  <c r="A31" i="78"/>
  <c r="A30" i="78"/>
  <c r="A29" i="78"/>
  <c r="G28" i="78"/>
  <c r="H28" i="78" s="1"/>
  <c r="A28" i="78"/>
  <c r="G27" i="78"/>
  <c r="H27" i="78" s="1"/>
  <c r="A27" i="78"/>
  <c r="G26" i="78"/>
  <c r="H26" i="78" s="1"/>
  <c r="A26" i="78"/>
  <c r="G25" i="78"/>
  <c r="H25" i="78" s="1"/>
  <c r="A25" i="78"/>
  <c r="G24" i="78"/>
  <c r="H24" i="78" s="1"/>
  <c r="A24" i="78"/>
  <c r="G23" i="78"/>
  <c r="H23" i="78" s="1"/>
  <c r="A23" i="78"/>
  <c r="G22" i="78"/>
  <c r="H22" i="78" s="1"/>
  <c r="A22" i="78"/>
  <c r="G21" i="78"/>
  <c r="H21" i="78" s="1"/>
  <c r="A21" i="78"/>
  <c r="G20" i="78"/>
  <c r="H20" i="78" s="1"/>
  <c r="A20" i="78"/>
  <c r="G19" i="78"/>
  <c r="H19" i="78" s="1"/>
  <c r="A19" i="78"/>
  <c r="G18" i="78"/>
  <c r="H18" i="78" s="1"/>
  <c r="A18" i="78"/>
  <c r="G17" i="78"/>
  <c r="H17" i="78" s="1"/>
  <c r="A17" i="78"/>
  <c r="G16" i="78"/>
  <c r="H16" i="78" s="1"/>
  <c r="A16" i="78"/>
  <c r="G15" i="78"/>
  <c r="H15" i="78" s="1"/>
  <c r="A15" i="78"/>
  <c r="G14" i="78"/>
  <c r="H14" i="78" s="1"/>
  <c r="A14" i="78"/>
  <c r="G13" i="78"/>
  <c r="H13" i="78" s="1"/>
  <c r="A13" i="78"/>
  <c r="G12" i="78"/>
  <c r="H12" i="78" s="1"/>
  <c r="A12" i="78"/>
  <c r="G11" i="78"/>
  <c r="H11" i="78" s="1"/>
  <c r="A11" i="78"/>
  <c r="G10" i="78"/>
  <c r="H10" i="78" s="1"/>
  <c r="A10" i="78"/>
  <c r="G9" i="78"/>
  <c r="H9" i="78" s="1"/>
  <c r="A9" i="78"/>
  <c r="G8" i="78"/>
  <c r="H8" i="78" s="1"/>
  <c r="A8" i="78"/>
  <c r="G7" i="78"/>
  <c r="H7" i="78" s="1"/>
  <c r="A7" i="78"/>
  <c r="G6" i="78"/>
  <c r="H6" i="78" s="1"/>
  <c r="A6" i="78"/>
  <c r="G5" i="78"/>
  <c r="H5" i="78" s="1"/>
  <c r="A5" i="78"/>
  <c r="G4" i="78"/>
  <c r="H4" i="78" s="1"/>
  <c r="A4" i="78"/>
  <c r="G3" i="78"/>
  <c r="H3" i="78" s="1"/>
  <c r="A3" i="78"/>
  <c r="G2" i="78"/>
  <c r="H2" i="78" s="1"/>
  <c r="A2" i="78"/>
  <c r="G79" i="77"/>
  <c r="G24" i="77"/>
  <c r="H24" i="77"/>
  <c r="G25" i="77"/>
  <c r="H25" i="77"/>
  <c r="G26" i="77"/>
  <c r="H26" i="77" s="1"/>
  <c r="G27" i="77"/>
  <c r="H27" i="77"/>
  <c r="G28" i="77"/>
  <c r="H28" i="77"/>
  <c r="G29" i="77"/>
  <c r="H29" i="77"/>
  <c r="G30" i="77"/>
  <c r="H30" i="77"/>
  <c r="G31" i="77"/>
  <c r="H31" i="77"/>
  <c r="G32" i="77"/>
  <c r="H32" i="77" s="1"/>
  <c r="G33" i="77"/>
  <c r="H33" i="77"/>
  <c r="G34" i="77"/>
  <c r="H34" i="77"/>
  <c r="G35" i="77"/>
  <c r="H35" i="77"/>
  <c r="G36" i="77"/>
  <c r="H36" i="77"/>
  <c r="G37" i="77"/>
  <c r="H37" i="77"/>
  <c r="G38" i="77"/>
  <c r="H38" i="77" s="1"/>
  <c r="G39" i="77"/>
  <c r="H39" i="77"/>
  <c r="G40" i="77"/>
  <c r="H40" i="77"/>
  <c r="G41" i="77"/>
  <c r="H41" i="77"/>
  <c r="G42" i="77"/>
  <c r="H42" i="77"/>
  <c r="G43" i="77"/>
  <c r="H43" i="77"/>
  <c r="G44" i="77"/>
  <c r="H44" i="77" s="1"/>
  <c r="G45" i="77"/>
  <c r="H45" i="77"/>
  <c r="G46" i="77"/>
  <c r="H46" i="77"/>
  <c r="G47" i="77"/>
  <c r="H47" i="77"/>
  <c r="G48" i="77"/>
  <c r="H48" i="77"/>
  <c r="G49" i="77"/>
  <c r="H49" i="77"/>
  <c r="G50" i="77"/>
  <c r="H50" i="77" s="1"/>
  <c r="G51" i="77"/>
  <c r="H51" i="77"/>
  <c r="G52" i="77"/>
  <c r="H52" i="77"/>
  <c r="G53" i="77"/>
  <c r="H53" i="77"/>
  <c r="G54" i="77"/>
  <c r="H54" i="77"/>
  <c r="G55" i="77"/>
  <c r="H55" i="77"/>
  <c r="G56" i="77"/>
  <c r="H56" i="77" s="1"/>
  <c r="G57" i="77"/>
  <c r="H57" i="77"/>
  <c r="G58" i="77"/>
  <c r="H58" i="77"/>
  <c r="G59" i="77"/>
  <c r="H59" i="77"/>
  <c r="G60" i="77"/>
  <c r="H60" i="77"/>
  <c r="G61" i="77"/>
  <c r="H61" i="77"/>
  <c r="G62" i="77"/>
  <c r="H62" i="77" s="1"/>
  <c r="G63" i="77"/>
  <c r="H63" i="77"/>
  <c r="G64" i="77"/>
  <c r="H64" i="77"/>
  <c r="G65" i="77"/>
  <c r="H65" i="77"/>
  <c r="G66" i="77"/>
  <c r="H66" i="77"/>
  <c r="G67" i="77"/>
  <c r="H67" i="77"/>
  <c r="G68" i="77"/>
  <c r="H68" i="77" s="1"/>
  <c r="G69" i="77"/>
  <c r="H69" i="77"/>
  <c r="G70" i="77"/>
  <c r="H70" i="77"/>
  <c r="G71" i="77"/>
  <c r="H71" i="77"/>
  <c r="G72" i="77"/>
  <c r="H72" i="77"/>
  <c r="G73" i="77"/>
  <c r="H73" i="77"/>
  <c r="G74" i="77"/>
  <c r="H74" i="77" s="1"/>
  <c r="G75" i="77"/>
  <c r="H75" i="77"/>
  <c r="G76" i="77"/>
  <c r="H76" i="77"/>
  <c r="G77" i="77"/>
  <c r="H77" i="77"/>
  <c r="G78" i="77"/>
  <c r="H78" i="77" s="1"/>
  <c r="H79" i="77"/>
  <c r="H82" i="77" s="1"/>
  <c r="G80" i="77"/>
  <c r="H80" i="77" s="1"/>
  <c r="G81" i="77"/>
  <c r="H81" i="77"/>
  <c r="A24" i="77"/>
  <c r="A25" i="77"/>
  <c r="A26" i="77"/>
  <c r="A27" i="77"/>
  <c r="A28" i="77"/>
  <c r="A29" i="77"/>
  <c r="A30" i="77"/>
  <c r="A31" i="77"/>
  <c r="A32" i="77"/>
  <c r="A33" i="77"/>
  <c r="A34" i="77"/>
  <c r="A35" i="77"/>
  <c r="A36" i="77"/>
  <c r="A37" i="77"/>
  <c r="A38" i="77"/>
  <c r="A39" i="77"/>
  <c r="A40" i="77"/>
  <c r="A41" i="77"/>
  <c r="A42" i="77"/>
  <c r="A43" i="77"/>
  <c r="A44" i="77"/>
  <c r="A45" i="77"/>
  <c r="A46" i="77"/>
  <c r="A47" i="77"/>
  <c r="A48" i="77"/>
  <c r="A49" i="77"/>
  <c r="A50" i="77"/>
  <c r="A51" i="77"/>
  <c r="A52" i="77"/>
  <c r="A53" i="77"/>
  <c r="A54" i="77"/>
  <c r="A55" i="77"/>
  <c r="A56" i="77"/>
  <c r="A57" i="77"/>
  <c r="A58" i="77"/>
  <c r="A59" i="77"/>
  <c r="A60" i="77"/>
  <c r="A61" i="77"/>
  <c r="A62" i="77"/>
  <c r="A63" i="77"/>
  <c r="A64" i="77"/>
  <c r="A65" i="77"/>
  <c r="A66" i="77"/>
  <c r="A67" i="77"/>
  <c r="A68" i="77"/>
  <c r="A69" i="77"/>
  <c r="A70" i="77"/>
  <c r="A71" i="77"/>
  <c r="A72" i="77"/>
  <c r="A73" i="77"/>
  <c r="A74" i="77"/>
  <c r="A75" i="77"/>
  <c r="A76" i="77"/>
  <c r="A77" i="77"/>
  <c r="A78" i="77"/>
  <c r="A79" i="77"/>
  <c r="A80" i="77"/>
  <c r="A81" i="77"/>
  <c r="A84" i="77"/>
  <c r="A83" i="77"/>
  <c r="A82" i="77"/>
  <c r="G23" i="77"/>
  <c r="H23" i="77" s="1"/>
  <c r="A23" i="77"/>
  <c r="G22" i="77"/>
  <c r="H22" i="77" s="1"/>
  <c r="A22" i="77"/>
  <c r="G21" i="77"/>
  <c r="H21" i="77" s="1"/>
  <c r="A21" i="77"/>
  <c r="G20" i="77"/>
  <c r="H20" i="77" s="1"/>
  <c r="A20" i="77"/>
  <c r="G19" i="77"/>
  <c r="H19" i="77" s="1"/>
  <c r="A19" i="77"/>
  <c r="G18" i="77"/>
  <c r="H18" i="77" s="1"/>
  <c r="A18" i="77"/>
  <c r="G17" i="77"/>
  <c r="H17" i="77" s="1"/>
  <c r="A17" i="77"/>
  <c r="G16" i="77"/>
  <c r="H16" i="77" s="1"/>
  <c r="A16" i="77"/>
  <c r="G15" i="77"/>
  <c r="H15" i="77" s="1"/>
  <c r="A15" i="77"/>
  <c r="G14" i="77"/>
  <c r="H14" i="77" s="1"/>
  <c r="A14" i="77"/>
  <c r="G13" i="77"/>
  <c r="H13" i="77" s="1"/>
  <c r="A13" i="77"/>
  <c r="G12" i="77"/>
  <c r="H12" i="77" s="1"/>
  <c r="A12" i="77"/>
  <c r="G11" i="77"/>
  <c r="H11" i="77" s="1"/>
  <c r="A11" i="77"/>
  <c r="G10" i="77"/>
  <c r="H10" i="77" s="1"/>
  <c r="A10" i="77"/>
  <c r="G9" i="77"/>
  <c r="H9" i="77" s="1"/>
  <c r="A9" i="77"/>
  <c r="G8" i="77"/>
  <c r="H8" i="77" s="1"/>
  <c r="A8" i="77"/>
  <c r="G7" i="77"/>
  <c r="H7" i="77" s="1"/>
  <c r="A7" i="77"/>
  <c r="G6" i="77"/>
  <c r="H6" i="77" s="1"/>
  <c r="A6" i="77"/>
  <c r="G5" i="77"/>
  <c r="H5" i="77" s="1"/>
  <c r="A5" i="77"/>
  <c r="G4" i="77"/>
  <c r="H4" i="77" s="1"/>
  <c r="A4" i="77"/>
  <c r="G3" i="77"/>
  <c r="H3" i="77" s="1"/>
  <c r="A3" i="77"/>
  <c r="G2" i="77"/>
  <c r="H2" i="77" s="1"/>
  <c r="A2" i="77"/>
  <c r="G9" i="76"/>
  <c r="H9" i="76"/>
  <c r="G10" i="76"/>
  <c r="H10" i="76"/>
  <c r="G11" i="76"/>
  <c r="H11" i="76" s="1"/>
  <c r="G12" i="76"/>
  <c r="H12" i="76"/>
  <c r="G13" i="76"/>
  <c r="H13" i="76" s="1"/>
  <c r="G14" i="76"/>
  <c r="H14" i="76"/>
  <c r="G15" i="76"/>
  <c r="H15" i="76"/>
  <c r="G16" i="76"/>
  <c r="H16" i="76"/>
  <c r="G17" i="76"/>
  <c r="H17" i="76" s="1"/>
  <c r="G18" i="76"/>
  <c r="H18" i="76"/>
  <c r="G19" i="76"/>
  <c r="H19" i="76" s="1"/>
  <c r="G20" i="76"/>
  <c r="H20" i="76"/>
  <c r="G21" i="76"/>
  <c r="H21" i="76"/>
  <c r="G22" i="76"/>
  <c r="H22" i="76"/>
  <c r="G23" i="76"/>
  <c r="H23" i="76"/>
  <c r="A9" i="76"/>
  <c r="A10" i="76"/>
  <c r="A11" i="76"/>
  <c r="A12" i="76"/>
  <c r="A13" i="76"/>
  <c r="A14" i="76"/>
  <c r="A15" i="76"/>
  <c r="A16" i="76"/>
  <c r="A17" i="76"/>
  <c r="A18" i="76"/>
  <c r="A19" i="76"/>
  <c r="A20" i="76"/>
  <c r="A21" i="76"/>
  <c r="A22" i="76"/>
  <c r="A23" i="76"/>
  <c r="A24" i="76"/>
  <c r="A26" i="76"/>
  <c r="A25" i="76"/>
  <c r="G8" i="76"/>
  <c r="H8" i="76" s="1"/>
  <c r="A8" i="76"/>
  <c r="G7" i="76"/>
  <c r="H7" i="76" s="1"/>
  <c r="A7" i="76"/>
  <c r="G6" i="76"/>
  <c r="H6" i="76" s="1"/>
  <c r="A6" i="76"/>
  <c r="G5" i="76"/>
  <c r="H5" i="76" s="1"/>
  <c r="A5" i="76"/>
  <c r="G4" i="76"/>
  <c r="H4" i="76" s="1"/>
  <c r="A4" i="76"/>
  <c r="G3" i="76"/>
  <c r="H3" i="76" s="1"/>
  <c r="A3" i="76"/>
  <c r="G2" i="76"/>
  <c r="H2" i="76" s="1"/>
  <c r="H24" i="76" s="1"/>
  <c r="A2" i="76"/>
  <c r="A11" i="75"/>
  <c r="A10" i="75"/>
  <c r="A9" i="75"/>
  <c r="G8" i="75"/>
  <c r="H8" i="75" s="1"/>
  <c r="A8" i="75"/>
  <c r="G7" i="75"/>
  <c r="H7" i="75" s="1"/>
  <c r="A7" i="75"/>
  <c r="G6" i="75"/>
  <c r="H6" i="75" s="1"/>
  <c r="A6" i="75"/>
  <c r="G5" i="75"/>
  <c r="H5" i="75" s="1"/>
  <c r="A5" i="75"/>
  <c r="G4" i="75"/>
  <c r="H4" i="75" s="1"/>
  <c r="A4" i="75"/>
  <c r="G3" i="75"/>
  <c r="H3" i="75" s="1"/>
  <c r="A3" i="75"/>
  <c r="G2" i="75"/>
  <c r="H2" i="75" s="1"/>
  <c r="A2" i="75"/>
  <c r="G3" i="74"/>
  <c r="H3" i="74" s="1"/>
  <c r="G4" i="74"/>
  <c r="H4" i="74"/>
  <c r="G5" i="74"/>
  <c r="H5" i="74"/>
  <c r="G6" i="74"/>
  <c r="H6" i="74"/>
  <c r="G7" i="74"/>
  <c r="H7" i="74"/>
  <c r="G8" i="74"/>
  <c r="H8" i="74"/>
  <c r="G9" i="74"/>
  <c r="H9" i="74" s="1"/>
  <c r="G10" i="74"/>
  <c r="H10" i="74" s="1"/>
  <c r="G11" i="74"/>
  <c r="H11" i="74"/>
  <c r="G12" i="74"/>
  <c r="H12" i="74"/>
  <c r="G13" i="74"/>
  <c r="H13" i="74"/>
  <c r="G14" i="74"/>
  <c r="H14" i="74" s="1"/>
  <c r="A5" i="74"/>
  <c r="A6" i="74"/>
  <c r="A7" i="74"/>
  <c r="A8" i="74"/>
  <c r="A9" i="74"/>
  <c r="A10" i="74"/>
  <c r="A11" i="74"/>
  <c r="A12" i="74"/>
  <c r="A13" i="74"/>
  <c r="A14" i="74"/>
  <c r="A17" i="74"/>
  <c r="A16" i="74"/>
  <c r="A15" i="74"/>
  <c r="A4" i="74"/>
  <c r="A3" i="74"/>
  <c r="G2" i="74"/>
  <c r="H2" i="74" s="1"/>
  <c r="A2" i="74"/>
  <c r="A7" i="73"/>
  <c r="A6" i="73"/>
  <c r="A5" i="73"/>
  <c r="G4" i="73"/>
  <c r="H4" i="73" s="1"/>
  <c r="A4" i="73"/>
  <c r="G3" i="73"/>
  <c r="H3" i="73" s="1"/>
  <c r="A3" i="73"/>
  <c r="G2" i="73"/>
  <c r="H2" i="73" s="1"/>
  <c r="A2" i="73"/>
  <c r="H6" i="79" l="1"/>
  <c r="H7" i="79" s="1"/>
  <c r="H29" i="78"/>
  <c r="H83" i="77"/>
  <c r="H25" i="76"/>
  <c r="H26" i="76" s="1"/>
  <c r="H9" i="75"/>
  <c r="H15" i="74"/>
  <c r="H5" i="73"/>
  <c r="G18" i="72"/>
  <c r="G16" i="72"/>
  <c r="G3" i="72"/>
  <c r="G4" i="72"/>
  <c r="G5" i="72"/>
  <c r="G6" i="72"/>
  <c r="G7" i="72"/>
  <c r="G8" i="72"/>
  <c r="G9" i="72"/>
  <c r="G10" i="72"/>
  <c r="G11" i="72"/>
  <c r="G12" i="72"/>
  <c r="G13" i="72"/>
  <c r="G14" i="72"/>
  <c r="G15" i="72"/>
  <c r="G17" i="72"/>
  <c r="G2" i="72"/>
  <c r="H30" i="78" l="1"/>
  <c r="H31" i="78" s="1"/>
  <c r="H84" i="77"/>
  <c r="H10" i="75"/>
  <c r="H11" i="75" s="1"/>
  <c r="H16" i="74"/>
  <c r="H17" i="74" s="1"/>
  <c r="H6" i="73"/>
  <c r="H7" i="73" s="1"/>
  <c r="H15" i="72"/>
  <c r="H16" i="72"/>
  <c r="H17" i="72"/>
  <c r="H18" i="72"/>
  <c r="A15" i="72"/>
  <c r="A16" i="72"/>
  <c r="A17" i="72"/>
  <c r="A18" i="72"/>
  <c r="A21" i="72"/>
  <c r="A20" i="72"/>
  <c r="A19" i="72"/>
  <c r="H14" i="72"/>
  <c r="A14" i="72"/>
  <c r="H13" i="72"/>
  <c r="A13" i="72"/>
  <c r="H12" i="72"/>
  <c r="A12" i="72"/>
  <c r="H11" i="72"/>
  <c r="A11" i="72"/>
  <c r="H10" i="72"/>
  <c r="A10" i="72"/>
  <c r="H9" i="72"/>
  <c r="A9" i="72"/>
  <c r="H8" i="72"/>
  <c r="A8" i="72"/>
  <c r="H7" i="72"/>
  <c r="A7" i="72"/>
  <c r="H6" i="72"/>
  <c r="A6" i="72"/>
  <c r="H5" i="72"/>
  <c r="A5" i="72"/>
  <c r="H4" i="72"/>
  <c r="A4" i="72"/>
  <c r="H3" i="72"/>
  <c r="A3" i="72"/>
  <c r="H2" i="72"/>
  <c r="H19" i="72" s="1"/>
  <c r="A2" i="72"/>
  <c r="G3" i="68"/>
  <c r="H3" i="68"/>
  <c r="G4" i="68"/>
  <c r="H4" i="68"/>
  <c r="G6" i="68"/>
  <c r="H6" i="68"/>
  <c r="G7" i="68"/>
  <c r="H7" i="68" s="1"/>
  <c r="G8" i="68"/>
  <c r="H8" i="68" s="1"/>
  <c r="G9" i="68"/>
  <c r="H9" i="68" s="1"/>
  <c r="G10" i="68"/>
  <c r="H10" i="68"/>
  <c r="G2" i="68"/>
  <c r="H20" i="72" l="1"/>
  <c r="H21" i="72" s="1"/>
  <c r="G2" i="70"/>
  <c r="H2" i="70"/>
  <c r="A2" i="69"/>
  <c r="G2" i="69"/>
  <c r="H2" i="69" s="1"/>
  <c r="A3" i="69"/>
  <c r="G3" i="69"/>
  <c r="H3" i="69" s="1"/>
  <c r="A4" i="69"/>
  <c r="G4" i="69"/>
  <c r="H4" i="69" s="1"/>
  <c r="A5" i="69"/>
  <c r="G5" i="69"/>
  <c r="H5" i="69" s="1"/>
  <c r="A6" i="69"/>
  <c r="G6" i="69"/>
  <c r="H6" i="69" s="1"/>
  <c r="A7" i="69"/>
  <c r="G7" i="69"/>
  <c r="H7" i="69" s="1"/>
  <c r="A8" i="69"/>
  <c r="G8" i="69"/>
  <c r="H8" i="69" s="1"/>
  <c r="A9" i="69"/>
  <c r="G9" i="69"/>
  <c r="H9" i="69" s="1"/>
  <c r="A10" i="69"/>
  <c r="G10" i="69"/>
  <c r="H10" i="69" s="1"/>
  <c r="A11" i="69"/>
  <c r="G11" i="69"/>
  <c r="H11" i="69" s="1"/>
  <c r="A12" i="69"/>
  <c r="G12" i="69"/>
  <c r="H12" i="69" s="1"/>
  <c r="A13" i="69"/>
  <c r="G13" i="69"/>
  <c r="H13" i="69" s="1"/>
  <c r="A14" i="69"/>
  <c r="G14" i="69"/>
  <c r="H14" i="69" s="1"/>
  <c r="A15" i="71"/>
  <c r="A14" i="71"/>
  <c r="A13" i="71"/>
  <c r="G12" i="71"/>
  <c r="H12" i="71" s="1"/>
  <c r="A12" i="71"/>
  <c r="G11" i="71"/>
  <c r="H11" i="71" s="1"/>
  <c r="A11" i="71"/>
  <c r="G10" i="71"/>
  <c r="H10" i="71" s="1"/>
  <c r="A10" i="71"/>
  <c r="G9" i="71"/>
  <c r="H9" i="71" s="1"/>
  <c r="A9" i="71"/>
  <c r="G8" i="71"/>
  <c r="H8" i="71" s="1"/>
  <c r="A8" i="71"/>
  <c r="G7" i="71"/>
  <c r="H7" i="71" s="1"/>
  <c r="A7" i="71"/>
  <c r="G6" i="71"/>
  <c r="H6" i="71" s="1"/>
  <c r="A6" i="71"/>
  <c r="G5" i="71"/>
  <c r="H5" i="71" s="1"/>
  <c r="A5" i="71"/>
  <c r="G4" i="71"/>
  <c r="H4" i="71" s="1"/>
  <c r="A4" i="71"/>
  <c r="G3" i="71"/>
  <c r="H3" i="71" s="1"/>
  <c r="A3" i="71"/>
  <c r="G2" i="71"/>
  <c r="H2" i="71" s="1"/>
  <c r="A2" i="71"/>
  <c r="A27" i="70"/>
  <c r="A26" i="70"/>
  <c r="A25" i="70"/>
  <c r="G24" i="70"/>
  <c r="H24" i="70" s="1"/>
  <c r="A24" i="70"/>
  <c r="G23" i="70"/>
  <c r="H23" i="70" s="1"/>
  <c r="A23" i="70"/>
  <c r="G22" i="70"/>
  <c r="H22" i="70" s="1"/>
  <c r="A22" i="70"/>
  <c r="G21" i="70"/>
  <c r="H21" i="70" s="1"/>
  <c r="A21" i="70"/>
  <c r="G20" i="70"/>
  <c r="H20" i="70" s="1"/>
  <c r="A20" i="70"/>
  <c r="G19" i="70"/>
  <c r="H19" i="70" s="1"/>
  <c r="A19" i="70"/>
  <c r="G18" i="70"/>
  <c r="H18" i="70" s="1"/>
  <c r="A18" i="70"/>
  <c r="G17" i="70"/>
  <c r="H17" i="70" s="1"/>
  <c r="A17" i="70"/>
  <c r="G16" i="70"/>
  <c r="H16" i="70" s="1"/>
  <c r="A16" i="70"/>
  <c r="G15" i="70"/>
  <c r="H15" i="70" s="1"/>
  <c r="A15" i="70"/>
  <c r="G14" i="70"/>
  <c r="H14" i="70" s="1"/>
  <c r="A14" i="70"/>
  <c r="G13" i="70"/>
  <c r="H13" i="70" s="1"/>
  <c r="A13" i="70"/>
  <c r="G12" i="70"/>
  <c r="H12" i="70" s="1"/>
  <c r="A12" i="70"/>
  <c r="G11" i="70"/>
  <c r="H11" i="70" s="1"/>
  <c r="A11" i="70"/>
  <c r="G10" i="70"/>
  <c r="H10" i="70" s="1"/>
  <c r="A10" i="70"/>
  <c r="G9" i="70"/>
  <c r="H9" i="70" s="1"/>
  <c r="A9" i="70"/>
  <c r="G8" i="70"/>
  <c r="H8" i="70" s="1"/>
  <c r="A8" i="70"/>
  <c r="G7" i="70"/>
  <c r="H7" i="70" s="1"/>
  <c r="A7" i="70"/>
  <c r="G6" i="70"/>
  <c r="H6" i="70" s="1"/>
  <c r="A6" i="70"/>
  <c r="G5" i="70"/>
  <c r="H5" i="70" s="1"/>
  <c r="A5" i="70"/>
  <c r="G4" i="70"/>
  <c r="H4" i="70" s="1"/>
  <c r="A4" i="70"/>
  <c r="G3" i="70"/>
  <c r="H3" i="70" s="1"/>
  <c r="A3" i="70"/>
  <c r="A2" i="70"/>
  <c r="A15" i="69"/>
  <c r="A16" i="69"/>
  <c r="A17" i="69"/>
  <c r="H13" i="71" l="1"/>
  <c r="H15" i="69"/>
  <c r="H25" i="70"/>
  <c r="H14" i="71"/>
  <c r="H16" i="69"/>
  <c r="H17" i="69" s="1"/>
  <c r="A5" i="68"/>
  <c r="A3" i="68"/>
  <c r="A4" i="68"/>
  <c r="H2" i="68"/>
  <c r="H11" i="68" s="1"/>
  <c r="A2" i="68"/>
  <c r="G2" i="67"/>
  <c r="H2" i="67" s="1"/>
  <c r="H12" i="68" l="1"/>
  <c r="H13" i="68" s="1"/>
  <c r="H15" i="71"/>
  <c r="H26" i="70"/>
  <c r="H27" i="70" s="1"/>
  <c r="A3" i="67"/>
  <c r="A5" i="67"/>
  <c r="A4" i="67"/>
  <c r="H3" i="67"/>
  <c r="A2" i="67"/>
  <c r="G3" i="66"/>
  <c r="H3" i="66" s="1"/>
  <c r="A3" i="66"/>
  <c r="A6" i="66"/>
  <c r="A5" i="66"/>
  <c r="A4" i="66"/>
  <c r="G2" i="66"/>
  <c r="H2" i="66" s="1"/>
  <c r="H4" i="66" s="1"/>
  <c r="A2" i="66"/>
  <c r="G2" i="65"/>
  <c r="H2" i="65" s="1"/>
  <c r="H3" i="65" s="1"/>
  <c r="H4" i="65" l="1"/>
  <c r="H5" i="65" s="1"/>
  <c r="H4" i="67"/>
  <c r="H5" i="67" s="1"/>
  <c r="H5" i="66"/>
  <c r="H6" i="66" s="1"/>
  <c r="A5" i="65"/>
  <c r="A4" i="65"/>
  <c r="A3" i="65"/>
  <c r="A2" i="65"/>
  <c r="G3" i="64"/>
  <c r="H3" i="64" s="1"/>
  <c r="G4" i="64"/>
  <c r="H4" i="64" s="1"/>
  <c r="G5" i="64"/>
  <c r="H5" i="64" s="1"/>
  <c r="G6" i="64"/>
  <c r="H6" i="64" s="1"/>
  <c r="G2" i="64"/>
  <c r="H2" i="64" s="1"/>
  <c r="A9" i="64"/>
  <c r="A3" i="64"/>
  <c r="A4" i="64"/>
  <c r="A5" i="64"/>
  <c r="A6" i="64"/>
  <c r="A7" i="64"/>
  <c r="A8" i="64"/>
  <c r="A2" i="64"/>
  <c r="H7" i="63"/>
  <c r="I7" i="63" s="1"/>
  <c r="H8" i="63"/>
  <c r="I8" i="63" s="1"/>
  <c r="H9" i="63"/>
  <c r="I9" i="63" s="1"/>
  <c r="H10" i="63"/>
  <c r="I10" i="63" s="1"/>
  <c r="H11" i="63"/>
  <c r="I11" i="63"/>
  <c r="H12" i="63"/>
  <c r="I12" i="63"/>
  <c r="H13" i="63"/>
  <c r="I13" i="63" s="1"/>
  <c r="H14" i="63"/>
  <c r="I14" i="63"/>
  <c r="H15" i="63"/>
  <c r="I15" i="63"/>
  <c r="H16" i="63"/>
  <c r="I16" i="63"/>
  <c r="H17" i="63"/>
  <c r="I17" i="63"/>
  <c r="H18" i="63"/>
  <c r="I18" i="63"/>
  <c r="H19" i="63"/>
  <c r="I19" i="63" s="1"/>
  <c r="H20" i="63"/>
  <c r="I20" i="63" s="1"/>
  <c r="H21" i="63"/>
  <c r="I21" i="63" s="1"/>
  <c r="H22" i="63"/>
  <c r="I22" i="63" s="1"/>
  <c r="H23" i="63"/>
  <c r="I23" i="63"/>
  <c r="H24" i="63"/>
  <c r="I24" i="63" s="1"/>
  <c r="H25" i="63"/>
  <c r="I25" i="63" s="1"/>
  <c r="H26" i="63"/>
  <c r="I26" i="63"/>
  <c r="A16" i="63"/>
  <c r="A17" i="63"/>
  <c r="A18" i="63"/>
  <c r="A19" i="63"/>
  <c r="A20" i="63"/>
  <c r="A21" i="63"/>
  <c r="A22" i="63"/>
  <c r="A23" i="63"/>
  <c r="A24" i="63"/>
  <c r="A25" i="63"/>
  <c r="A26" i="63"/>
  <c r="A27" i="63"/>
  <c r="A28" i="63"/>
  <c r="A29" i="63"/>
  <c r="A4" i="63"/>
  <c r="A5" i="63"/>
  <c r="A6" i="63"/>
  <c r="A7" i="63"/>
  <c r="A8" i="63"/>
  <c r="A9" i="63"/>
  <c r="A10" i="63"/>
  <c r="A11" i="63"/>
  <c r="A12" i="63"/>
  <c r="A13" i="63"/>
  <c r="A14" i="63"/>
  <c r="A15" i="63"/>
  <c r="A3" i="63"/>
  <c r="H6" i="63"/>
  <c r="I6" i="63" s="1"/>
  <c r="H5" i="63"/>
  <c r="I5" i="63" s="1"/>
  <c r="H4" i="63"/>
  <c r="I4" i="63" s="1"/>
  <c r="H3" i="63"/>
  <c r="I3" i="63" s="1"/>
  <c r="H7" i="64" l="1"/>
  <c r="I27" i="63"/>
  <c r="I28" i="63" s="1"/>
  <c r="I29" i="63" s="1"/>
  <c r="K6" i="62"/>
  <c r="I6" i="62" s="1"/>
  <c r="J6" i="62" s="1"/>
  <c r="K5" i="62"/>
  <c r="I5" i="62" s="1"/>
  <c r="J5" i="62" s="1"/>
  <c r="K4" i="62"/>
  <c r="I4" i="62" s="1"/>
  <c r="J4" i="62" s="1"/>
  <c r="K3" i="62"/>
  <c r="I3" i="62" s="1"/>
  <c r="J3" i="62" s="1"/>
  <c r="J7" i="62" s="1"/>
  <c r="H8" i="64" l="1"/>
  <c r="H9" i="64" s="1"/>
  <c r="J8" i="62"/>
  <c r="J9" i="62" s="1"/>
  <c r="K4" i="61"/>
  <c r="I4" i="61" s="1"/>
  <c r="K5" i="61"/>
  <c r="I5" i="61" s="1"/>
  <c r="K6" i="61"/>
  <c r="I6" i="61" s="1"/>
  <c r="K7" i="61"/>
  <c r="I7" i="61" s="1"/>
  <c r="K8" i="61"/>
  <c r="I8" i="61" s="1"/>
  <c r="K3" i="61"/>
  <c r="I3" i="61" s="1"/>
  <c r="J8" i="61" l="1"/>
  <c r="J3" i="61"/>
  <c r="J7" i="61"/>
  <c r="J6" i="61"/>
  <c r="J5" i="61"/>
  <c r="J4" i="61"/>
  <c r="J9" i="61" l="1"/>
  <c r="J10" i="61" s="1"/>
  <c r="J11" i="61" s="1"/>
  <c r="H3" i="60"/>
  <c r="I3" i="60" s="1"/>
  <c r="I4" i="60" s="1"/>
  <c r="I3" i="52"/>
  <c r="J3" i="52" s="1"/>
  <c r="I15" i="52"/>
  <c r="J15" i="52" s="1"/>
  <c r="H3" i="59"/>
  <c r="I3" i="59" s="1"/>
  <c r="I4" i="59" s="1"/>
  <c r="I6" i="59" s="1"/>
  <c r="I3" i="53"/>
  <c r="J3" i="53" s="1"/>
  <c r="G7" i="58"/>
  <c r="H7" i="58" s="1"/>
  <c r="G6" i="58"/>
  <c r="H6" i="58" s="1"/>
  <c r="G5" i="58"/>
  <c r="H5" i="58" s="1"/>
  <c r="G4" i="58"/>
  <c r="H4" i="58" s="1"/>
  <c r="G3" i="58"/>
  <c r="H3" i="58" s="1"/>
  <c r="G4" i="57"/>
  <c r="H4" i="57" s="1"/>
  <c r="G3" i="57"/>
  <c r="H3" i="57" s="1"/>
  <c r="G3" i="56"/>
  <c r="H3" i="56" s="1"/>
  <c r="G4" i="56"/>
  <c r="H4" i="56" s="1"/>
  <c r="H15" i="55"/>
  <c r="I15" i="55" s="1"/>
  <c r="H14" i="55"/>
  <c r="I14" i="55" s="1"/>
  <c r="H13" i="55"/>
  <c r="I13" i="55" s="1"/>
  <c r="H12" i="55"/>
  <c r="I12" i="55" s="1"/>
  <c r="H11" i="55"/>
  <c r="I11" i="55" s="1"/>
  <c r="H10" i="55"/>
  <c r="I10" i="55" s="1"/>
  <c r="H9" i="55"/>
  <c r="I9" i="55" s="1"/>
  <c r="H8" i="55"/>
  <c r="I8" i="55" s="1"/>
  <c r="H7" i="55"/>
  <c r="I7" i="55" s="1"/>
  <c r="H6" i="55"/>
  <c r="I6" i="55" s="1"/>
  <c r="H5" i="55"/>
  <c r="I5" i="55" s="1"/>
  <c r="H4" i="55"/>
  <c r="I4" i="55" s="1"/>
  <c r="H3" i="55"/>
  <c r="I3" i="55" s="1"/>
  <c r="G10" i="54"/>
  <c r="H10" i="54" s="1"/>
  <c r="G9" i="54"/>
  <c r="H9" i="54" s="1"/>
  <c r="G8" i="54"/>
  <c r="H8" i="54" s="1"/>
  <c r="G7" i="54"/>
  <c r="H7" i="54" s="1"/>
  <c r="G6" i="54"/>
  <c r="H6" i="54" s="1"/>
  <c r="G5" i="54"/>
  <c r="H5" i="54" s="1"/>
  <c r="G4" i="54"/>
  <c r="H4" i="54" s="1"/>
  <c r="G3" i="54"/>
  <c r="H3" i="54" s="1"/>
  <c r="I25" i="53"/>
  <c r="J25" i="53" s="1"/>
  <c r="I24" i="53"/>
  <c r="J24" i="53" s="1"/>
  <c r="I23" i="53"/>
  <c r="J23" i="53" s="1"/>
  <c r="I22" i="53"/>
  <c r="J22" i="53" s="1"/>
  <c r="I21" i="53"/>
  <c r="J21" i="53" s="1"/>
  <c r="I20" i="53"/>
  <c r="J20" i="53" s="1"/>
  <c r="I19" i="53"/>
  <c r="J19" i="53" s="1"/>
  <c r="I18" i="53"/>
  <c r="J18" i="53" s="1"/>
  <c r="I17" i="53"/>
  <c r="J17" i="53" s="1"/>
  <c r="I16" i="53"/>
  <c r="J16" i="53" s="1"/>
  <c r="I15" i="53"/>
  <c r="J15" i="53" s="1"/>
  <c r="I14" i="53"/>
  <c r="J14" i="53" s="1"/>
  <c r="I13" i="53"/>
  <c r="J13" i="53" s="1"/>
  <c r="I12" i="53"/>
  <c r="J12" i="53" s="1"/>
  <c r="I11" i="53"/>
  <c r="J11" i="53" s="1"/>
  <c r="I10" i="53"/>
  <c r="J10" i="53" s="1"/>
  <c r="I9" i="53"/>
  <c r="J9" i="53" s="1"/>
  <c r="I8" i="53"/>
  <c r="J8" i="53" s="1"/>
  <c r="I7" i="53"/>
  <c r="J7" i="53" s="1"/>
  <c r="I6" i="53"/>
  <c r="J6" i="53" s="1"/>
  <c r="I5" i="53"/>
  <c r="J5" i="53" s="1"/>
  <c r="I4" i="53"/>
  <c r="J4" i="53" s="1"/>
  <c r="I16" i="52"/>
  <c r="J16" i="52" s="1"/>
  <c r="I14" i="52"/>
  <c r="J14" i="52" s="1"/>
  <c r="I13" i="52"/>
  <c r="J13" i="52" s="1"/>
  <c r="I12" i="52"/>
  <c r="J12" i="52" s="1"/>
  <c r="I11" i="52"/>
  <c r="J11" i="52" s="1"/>
  <c r="I10" i="52"/>
  <c r="J10" i="52" s="1"/>
  <c r="I9" i="52"/>
  <c r="J9" i="52" s="1"/>
  <c r="I8" i="52"/>
  <c r="J8" i="52" s="1"/>
  <c r="I7" i="52"/>
  <c r="J7" i="52" s="1"/>
  <c r="I6" i="52"/>
  <c r="J6" i="52" s="1"/>
  <c r="I5" i="52"/>
  <c r="J5" i="52" s="1"/>
  <c r="I4" i="52"/>
  <c r="J4" i="52" s="1"/>
  <c r="J3" i="51"/>
  <c r="I6" i="60" l="1"/>
  <c r="I7" i="60" s="1"/>
  <c r="I7" i="59"/>
  <c r="H10" i="58"/>
  <c r="H11" i="58" s="1"/>
  <c r="H5" i="57"/>
  <c r="H6" i="57" s="1"/>
  <c r="H7" i="57" s="1"/>
  <c r="H5" i="56"/>
  <c r="I16" i="55"/>
  <c r="H11" i="54"/>
  <c r="H12" i="54" s="1"/>
  <c r="H13" i="54" s="1"/>
  <c r="J26" i="53"/>
  <c r="J17" i="52"/>
  <c r="F4" i="51"/>
  <c r="G4" i="51" s="1"/>
  <c r="F5" i="51"/>
  <c r="G5" i="51" s="1"/>
  <c r="F6" i="51"/>
  <c r="G6" i="51" s="1"/>
  <c r="F7" i="51"/>
  <c r="G7" i="51" s="1"/>
  <c r="F8" i="51"/>
  <c r="F3" i="51"/>
  <c r="G3" i="51" s="1"/>
  <c r="I8" i="51"/>
  <c r="I7" i="51"/>
  <c r="I6" i="51"/>
  <c r="I4" i="51"/>
  <c r="I5" i="51"/>
  <c r="I3" i="51"/>
  <c r="G8" i="51"/>
  <c r="M3" i="49"/>
  <c r="I3" i="50"/>
  <c r="I4" i="50" s="1"/>
  <c r="H5" i="49"/>
  <c r="I5" i="49" s="1"/>
  <c r="H4" i="49"/>
  <c r="I4" i="49" s="1"/>
  <c r="H3" i="49"/>
  <c r="I3" i="49" s="1"/>
  <c r="H4" i="48"/>
  <c r="I4" i="48" s="1"/>
  <c r="H5" i="48"/>
  <c r="I5" i="48" s="1"/>
  <c r="H3" i="48"/>
  <c r="I3" i="48" s="1"/>
  <c r="H12" i="58" l="1"/>
  <c r="H6" i="56"/>
  <c r="H7" i="56" s="1"/>
  <c r="I17" i="55"/>
  <c r="I18" i="55" s="1"/>
  <c r="J27" i="53"/>
  <c r="J28" i="53" s="1"/>
  <c r="J18" i="52"/>
  <c r="J19" i="52" s="1"/>
  <c r="I6" i="50"/>
  <c r="I7" i="50" s="1"/>
  <c r="G10" i="51"/>
  <c r="G11" i="51" s="1"/>
  <c r="G12" i="51" s="1"/>
  <c r="I6" i="49"/>
  <c r="I6" i="48"/>
  <c r="I7" i="49" l="1"/>
  <c r="I8" i="49" s="1"/>
  <c r="I7" i="48"/>
  <c r="I8" i="48" s="1"/>
  <c r="H12" i="47" l="1"/>
  <c r="I12" i="47" s="1"/>
  <c r="J3" i="47"/>
  <c r="H3" i="47" s="1"/>
  <c r="I3" i="47" s="1"/>
  <c r="J4" i="47"/>
  <c r="H4" i="47" s="1"/>
  <c r="I4" i="47" s="1"/>
  <c r="J5" i="47"/>
  <c r="H5" i="47" s="1"/>
  <c r="I5" i="47" s="1"/>
  <c r="J6" i="47"/>
  <c r="H6" i="47" s="1"/>
  <c r="I6" i="47" s="1"/>
  <c r="J7" i="47"/>
  <c r="H7" i="47" s="1"/>
  <c r="I7" i="47" s="1"/>
  <c r="J8" i="47"/>
  <c r="H8" i="47" s="1"/>
  <c r="I8" i="47" s="1"/>
  <c r="J9" i="47"/>
  <c r="H9" i="47" s="1"/>
  <c r="I9" i="47" s="1"/>
  <c r="J10" i="47"/>
  <c r="H10" i="47" s="1"/>
  <c r="I10" i="47" s="1"/>
  <c r="J11" i="47"/>
  <c r="H11" i="47" s="1"/>
  <c r="I11" i="47" s="1"/>
  <c r="J13" i="47"/>
  <c r="H13" i="47" s="1"/>
  <c r="I13" i="47" s="1"/>
  <c r="J14" i="47"/>
  <c r="H14" i="47" s="1"/>
  <c r="I14" i="47" s="1"/>
  <c r="J15" i="47"/>
  <c r="H15" i="47" s="1"/>
  <c r="I15" i="47" s="1"/>
  <c r="J16" i="47"/>
  <c r="H16" i="47" s="1"/>
  <c r="I16" i="47" s="1"/>
  <c r="J17" i="47"/>
  <c r="H17" i="47" s="1"/>
  <c r="I17" i="47" s="1"/>
  <c r="J18" i="47"/>
  <c r="H18" i="47" s="1"/>
  <c r="I18" i="47" s="1"/>
  <c r="J19" i="47"/>
  <c r="H19" i="47" s="1"/>
  <c r="I19" i="47" s="1"/>
  <c r="J22" i="47"/>
  <c r="H22" i="47" s="1"/>
  <c r="I22" i="47" s="1"/>
  <c r="J20" i="47"/>
  <c r="H20" i="47" s="1"/>
  <c r="I20" i="47" s="1"/>
  <c r="J21" i="47"/>
  <c r="H21" i="47" s="1"/>
  <c r="I21" i="47" s="1"/>
  <c r="I23" i="47" l="1"/>
  <c r="I24" i="47" s="1"/>
  <c r="I25" i="47" s="1"/>
  <c r="H4" i="46"/>
  <c r="I4" i="46" s="1"/>
  <c r="H3" i="46"/>
  <c r="I3" i="46" s="1"/>
  <c r="H3" i="45"/>
  <c r="I3" i="45" s="1"/>
  <c r="H4" i="45"/>
  <c r="I4" i="45" s="1"/>
  <c r="H3" i="44"/>
  <c r="I3" i="44" s="1"/>
  <c r="I4" i="44" s="1"/>
  <c r="H4" i="43"/>
  <c r="I4" i="43" s="1"/>
  <c r="H3" i="43"/>
  <c r="I3" i="43" s="1"/>
  <c r="H4" i="42"/>
  <c r="I4" i="42" s="1"/>
  <c r="H3" i="42"/>
  <c r="I3" i="42" s="1"/>
  <c r="H3" i="41"/>
  <c r="I3" i="41" s="1"/>
  <c r="H4" i="41"/>
  <c r="I4" i="41" s="1"/>
  <c r="H3" i="40"/>
  <c r="I3" i="40" s="1"/>
  <c r="H11" i="39"/>
  <c r="I11" i="39" s="1"/>
  <c r="H10" i="39"/>
  <c r="I10" i="39" s="1"/>
  <c r="H9" i="39"/>
  <c r="I9" i="39" s="1"/>
  <c r="H8" i="39"/>
  <c r="I8" i="39" s="1"/>
  <c r="H7" i="39"/>
  <c r="I7" i="39" s="1"/>
  <c r="H6" i="39"/>
  <c r="I6" i="39" s="1"/>
  <c r="H5" i="39"/>
  <c r="I5" i="39" s="1"/>
  <c r="H4" i="39"/>
  <c r="I4" i="39" s="1"/>
  <c r="H3" i="39"/>
  <c r="I3" i="39" s="1"/>
  <c r="H3" i="38"/>
  <c r="I3" i="38" s="1"/>
  <c r="I4" i="38" s="1"/>
  <c r="L9" i="38"/>
  <c r="K3" i="38"/>
  <c r="K5" i="37"/>
  <c r="K3" i="37"/>
  <c r="H5" i="37"/>
  <c r="I5" i="37" s="1"/>
  <c r="H3" i="37"/>
  <c r="I3" i="37" s="1"/>
  <c r="I12" i="39" l="1"/>
  <c r="I5" i="41"/>
  <c r="I5" i="46"/>
  <c r="I6" i="46" s="1"/>
  <c r="I7" i="46" s="1"/>
  <c r="I5" i="45"/>
  <c r="I6" i="45" s="1"/>
  <c r="I7" i="45" s="1"/>
  <c r="I5" i="44"/>
  <c r="I6" i="44" s="1"/>
  <c r="I5" i="43"/>
  <c r="I5" i="42"/>
  <c r="I6" i="42" s="1"/>
  <c r="I7" i="42" s="1"/>
  <c r="I6" i="41"/>
  <c r="I7" i="41" s="1"/>
  <c r="I4" i="40"/>
  <c r="I13" i="39"/>
  <c r="I14" i="39" s="1"/>
  <c r="I5" i="38"/>
  <c r="I6" i="38" s="1"/>
  <c r="I6" i="37"/>
  <c r="I6" i="43" l="1"/>
  <c r="I7" i="43" s="1"/>
  <c r="I5" i="40"/>
  <c r="I6" i="40" s="1"/>
  <c r="I7" i="37"/>
  <c r="I8" i="37" s="1"/>
  <c r="H13" i="36" l="1"/>
  <c r="I13" i="36" s="1"/>
  <c r="H12" i="36"/>
  <c r="I12" i="36" s="1"/>
  <c r="H11" i="36"/>
  <c r="I11" i="36" s="1"/>
  <c r="H10" i="36"/>
  <c r="I10" i="36" s="1"/>
  <c r="H8" i="36"/>
  <c r="I8" i="36" s="1"/>
  <c r="H5" i="36"/>
  <c r="I5" i="36" s="1"/>
  <c r="H4" i="36"/>
  <c r="I4" i="36" s="1"/>
  <c r="H3" i="36"/>
  <c r="I3" i="36" s="1"/>
  <c r="J6" i="36"/>
  <c r="H6" i="34"/>
  <c r="I6" i="34" s="1"/>
  <c r="J6" i="34" s="1"/>
  <c r="H5" i="34"/>
  <c r="I5" i="34" s="1"/>
  <c r="H4" i="34"/>
  <c r="I4" i="34" s="1"/>
  <c r="H3" i="34"/>
  <c r="H4" i="33"/>
  <c r="H5" i="33"/>
  <c r="I5" i="33" s="1"/>
  <c r="H6" i="33"/>
  <c r="I6" i="33"/>
  <c r="J6" i="33"/>
  <c r="H7" i="33"/>
  <c r="I7" i="33" s="1"/>
  <c r="H8" i="33"/>
  <c r="I8" i="33" s="1"/>
  <c r="H9" i="33"/>
  <c r="I9" i="33" s="1"/>
  <c r="H10" i="33"/>
  <c r="I10" i="33"/>
  <c r="H3" i="33"/>
  <c r="I3" i="33"/>
  <c r="H3" i="32"/>
  <c r="I3" i="32" s="1"/>
  <c r="I4" i="32" s="1"/>
  <c r="H3" i="31"/>
  <c r="I3" i="31" s="1"/>
  <c r="J4" i="30"/>
  <c r="H4" i="30" s="1"/>
  <c r="I4" i="30" s="1"/>
  <c r="J3" i="30"/>
  <c r="H3" i="30" s="1"/>
  <c r="I3" i="30" s="1"/>
  <c r="I5" i="30" s="1"/>
  <c r="H6" i="29"/>
  <c r="I6" i="29" s="1"/>
  <c r="H5" i="29"/>
  <c r="I5" i="29" s="1"/>
  <c r="H4" i="29"/>
  <c r="I4" i="29" s="1"/>
  <c r="H3" i="29"/>
  <c r="I3" i="29" s="1"/>
  <c r="H3" i="28"/>
  <c r="I3" i="28" s="1"/>
  <c r="I4" i="28" s="1"/>
  <c r="H3" i="23"/>
  <c r="I3" i="23" s="1"/>
  <c r="K3" i="27"/>
  <c r="L9" i="27"/>
  <c r="I3" i="27"/>
  <c r="H4" i="26"/>
  <c r="I4" i="26" s="1"/>
  <c r="H5" i="26"/>
  <c r="H7" i="26"/>
  <c r="I7" i="26" s="1"/>
  <c r="H8" i="26"/>
  <c r="I8" i="26" s="1"/>
  <c r="H9" i="26"/>
  <c r="I9" i="26" s="1"/>
  <c r="H10" i="26"/>
  <c r="I10" i="26" s="1"/>
  <c r="H3" i="26"/>
  <c r="I3" i="26" s="1"/>
  <c r="I5" i="26"/>
  <c r="L16" i="26"/>
  <c r="H3" i="25"/>
  <c r="I3" i="25" s="1"/>
  <c r="I4" i="25" s="1"/>
  <c r="K3" i="25"/>
  <c r="H6" i="24"/>
  <c r="I6" i="24" s="1"/>
  <c r="H7" i="24"/>
  <c r="I7" i="24" s="1"/>
  <c r="H4" i="24"/>
  <c r="I4" i="24" s="1"/>
  <c r="H3" i="24"/>
  <c r="I3" i="24" s="1"/>
  <c r="H5" i="24"/>
  <c r="I5" i="24" s="1"/>
  <c r="L13" i="24"/>
  <c r="L9" i="23"/>
  <c r="K3" i="23"/>
  <c r="H8" i="22"/>
  <c r="I8" i="22" s="1"/>
  <c r="H7" i="22"/>
  <c r="I7" i="22" s="1"/>
  <c r="H6" i="22"/>
  <c r="I6" i="22" s="1"/>
  <c r="H5" i="22"/>
  <c r="I5" i="22" s="1"/>
  <c r="H4" i="22"/>
  <c r="I4" i="22" s="1"/>
  <c r="H3" i="22"/>
  <c r="I3" i="22" s="1"/>
  <c r="H10" i="22"/>
  <c r="I10" i="22" s="1"/>
  <c r="H9" i="22"/>
  <c r="I9" i="22" s="1"/>
  <c r="H4" i="21"/>
  <c r="I4" i="21" s="1"/>
  <c r="H3" i="21"/>
  <c r="I3" i="21" s="1"/>
  <c r="H5" i="21"/>
  <c r="I5" i="21" s="1"/>
  <c r="K3" i="20"/>
  <c r="H3" i="20"/>
  <c r="I3" i="20" s="1"/>
  <c r="I4" i="20" s="1"/>
  <c r="H3" i="19"/>
  <c r="I3" i="19" s="1"/>
  <c r="I4" i="19" s="1"/>
  <c r="I5" i="19" s="1"/>
  <c r="I3" i="18"/>
  <c r="I4" i="18"/>
  <c r="I5" i="18"/>
  <c r="J10" i="33" l="1"/>
  <c r="J3" i="33"/>
  <c r="J9" i="33"/>
  <c r="J8" i="33"/>
  <c r="J5" i="33"/>
  <c r="I4" i="33"/>
  <c r="J4" i="33" s="1"/>
  <c r="I6" i="21"/>
  <c r="I7" i="21" s="1"/>
  <c r="I8" i="21" s="1"/>
  <c r="I14" i="36"/>
  <c r="J4" i="34"/>
  <c r="J5" i="34"/>
  <c r="I3" i="34"/>
  <c r="J3" i="34" s="1"/>
  <c r="J7" i="33"/>
  <c r="I5" i="32"/>
  <c r="I6" i="32" s="1"/>
  <c r="I4" i="31"/>
  <c r="I6" i="30"/>
  <c r="I7" i="30" s="1"/>
  <c r="I7" i="29"/>
  <c r="I8" i="29" s="1"/>
  <c r="I9" i="29" s="1"/>
  <c r="I5" i="28"/>
  <c r="I6" i="28" s="1"/>
  <c r="I4" i="27"/>
  <c r="I11" i="26"/>
  <c r="I12" i="26" s="1"/>
  <c r="I8" i="24"/>
  <c r="I9" i="24" s="1"/>
  <c r="I10" i="24" s="1"/>
  <c r="I12" i="22"/>
  <c r="I13" i="22" s="1"/>
  <c r="I14" i="22" s="1"/>
  <c r="I5" i="25"/>
  <c r="I6" i="25" s="1"/>
  <c r="I4" i="23"/>
  <c r="I5" i="20"/>
  <c r="I6" i="20" s="1"/>
  <c r="I6" i="19"/>
  <c r="I6" i="18"/>
  <c r="I7" i="18" s="1"/>
  <c r="I8" i="18" s="1"/>
  <c r="H3" i="13"/>
  <c r="I3" i="13" s="1"/>
  <c r="I3" i="17"/>
  <c r="I4" i="17" s="1"/>
  <c r="H10" i="16"/>
  <c r="I10" i="16" s="1"/>
  <c r="H9" i="16"/>
  <c r="I9" i="16" s="1"/>
  <c r="H8" i="16"/>
  <c r="I8" i="16" s="1"/>
  <c r="H7" i="16"/>
  <c r="I7" i="16" s="1"/>
  <c r="H6" i="16"/>
  <c r="I6" i="16" s="1"/>
  <c r="H5" i="16"/>
  <c r="I5" i="16" s="1"/>
  <c r="H4" i="16"/>
  <c r="I4" i="16" s="1"/>
  <c r="H3" i="16"/>
  <c r="I3" i="16" s="1"/>
  <c r="H6" i="15"/>
  <c r="I6" i="15" s="1"/>
  <c r="H5" i="15"/>
  <c r="I5" i="15" s="1"/>
  <c r="H4" i="15"/>
  <c r="I4" i="15" s="1"/>
  <c r="H3" i="15"/>
  <c r="I3" i="15" s="1"/>
  <c r="H4" i="14"/>
  <c r="I4" i="14" s="1"/>
  <c r="H3" i="14"/>
  <c r="I3" i="14" s="1"/>
  <c r="J12" i="13"/>
  <c r="H12" i="13" s="1"/>
  <c r="I12" i="13" s="1"/>
  <c r="J13" i="13"/>
  <c r="H13" i="13" s="1"/>
  <c r="I13" i="13" s="1"/>
  <c r="J11" i="13"/>
  <c r="H11" i="13" s="1"/>
  <c r="I11" i="13" s="1"/>
  <c r="J9" i="13"/>
  <c r="H9" i="13" s="1"/>
  <c r="I9" i="13" s="1"/>
  <c r="J7" i="13"/>
  <c r="H7" i="13" s="1"/>
  <c r="I7" i="13" s="1"/>
  <c r="J6" i="13"/>
  <c r="H6" i="13" s="1"/>
  <c r="I6" i="13" s="1"/>
  <c r="J5" i="13"/>
  <c r="H5" i="13" s="1"/>
  <c r="I5" i="13" s="1"/>
  <c r="J4" i="13"/>
  <c r="H4" i="13" s="1"/>
  <c r="I4" i="13" s="1"/>
  <c r="I7" i="12"/>
  <c r="H3" i="12"/>
  <c r="I3" i="12" s="1"/>
  <c r="J3" i="12"/>
  <c r="H4" i="12"/>
  <c r="I4" i="12" s="1"/>
  <c r="J4" i="12"/>
  <c r="H5" i="12"/>
  <c r="I5" i="12" s="1"/>
  <c r="J5" i="12"/>
  <c r="H6" i="12"/>
  <c r="I6" i="12" s="1"/>
  <c r="J6" i="12"/>
  <c r="J11" i="33" l="1"/>
  <c r="I15" i="36"/>
  <c r="I16" i="36" s="1"/>
  <c r="J7" i="34"/>
  <c r="I5" i="31"/>
  <c r="I6" i="31" s="1"/>
  <c r="I5" i="27"/>
  <c r="I6" i="27" s="1"/>
  <c r="I13" i="26"/>
  <c r="I5" i="23"/>
  <c r="I6" i="23" s="1"/>
  <c r="I5" i="17"/>
  <c r="I6" i="17" s="1"/>
  <c r="I11" i="16"/>
  <c r="I12" i="16" s="1"/>
  <c r="I13" i="16" s="1"/>
  <c r="I7" i="15"/>
  <c r="I8" i="15" s="1"/>
  <c r="I9" i="15" s="1"/>
  <c r="I5" i="14"/>
  <c r="I14" i="13"/>
  <c r="I8" i="12"/>
  <c r="H13" i="11"/>
  <c r="I13" i="11" s="1"/>
  <c r="H12" i="11"/>
  <c r="I12" i="11" s="1"/>
  <c r="H11" i="11"/>
  <c r="I11" i="11" s="1"/>
  <c r="H10" i="11"/>
  <c r="I10" i="11" s="1"/>
  <c r="H9" i="11"/>
  <c r="I9" i="11" s="1"/>
  <c r="H8" i="11"/>
  <c r="I8" i="11" s="1"/>
  <c r="H7" i="11"/>
  <c r="I7" i="11" s="1"/>
  <c r="H6" i="11"/>
  <c r="I6" i="11" s="1"/>
  <c r="H5" i="11"/>
  <c r="I5" i="11" s="1"/>
  <c r="H4" i="11"/>
  <c r="I4" i="11" s="1"/>
  <c r="H3" i="11"/>
  <c r="I3" i="11" s="1"/>
  <c r="I6" i="14" l="1"/>
  <c r="I7" i="14" s="1"/>
  <c r="I15" i="13"/>
  <c r="I16" i="13" s="1"/>
  <c r="I14" i="11"/>
  <c r="I15" i="11" s="1"/>
  <c r="M3" i="11"/>
  <c r="I16" i="11" l="1"/>
  <c r="I9" i="12"/>
  <c r="I10" i="12" s="1"/>
  <c r="N3" i="11"/>
  <c r="J12" i="11"/>
  <c r="J11" i="11"/>
  <c r="J10" i="11"/>
  <c r="J9" i="11"/>
  <c r="J4" i="11"/>
  <c r="J5" i="11"/>
  <c r="J6" i="11"/>
  <c r="J7" i="11"/>
  <c r="J8" i="11"/>
  <c r="J3" i="11"/>
  <c r="H5" i="10" l="1"/>
  <c r="I5" i="10" s="1"/>
  <c r="H4" i="10"/>
  <c r="I4" i="10" s="1"/>
  <c r="J4" i="10" s="1"/>
  <c r="H3" i="10"/>
  <c r="I3" i="10" s="1"/>
  <c r="H5" i="9"/>
  <c r="I5" i="9" s="1"/>
  <c r="H4" i="9"/>
  <c r="I4" i="9" s="1"/>
  <c r="H3" i="9"/>
  <c r="I3" i="9" s="1"/>
  <c r="J3" i="10" l="1"/>
  <c r="J5" i="10"/>
  <c r="J3" i="9"/>
  <c r="J4" i="9"/>
  <c r="J5" i="9"/>
  <c r="K6" i="7"/>
  <c r="H6" i="7" s="1"/>
  <c r="H5" i="7"/>
  <c r="K4" i="7"/>
  <c r="H4" i="7" s="1"/>
  <c r="I29" i="6"/>
  <c r="J29" i="6" s="1"/>
  <c r="H27" i="6"/>
  <c r="H15" i="6"/>
  <c r="H14" i="6"/>
  <c r="H13" i="6"/>
  <c r="H12" i="6"/>
  <c r="H11" i="6"/>
  <c r="H10" i="6"/>
  <c r="H9" i="6"/>
  <c r="O30" i="6"/>
  <c r="H30" i="6"/>
  <c r="O29" i="6"/>
  <c r="P29" i="6" s="1"/>
  <c r="O28" i="6"/>
  <c r="O27" i="6"/>
  <c r="O26" i="6"/>
  <c r="H26" i="6"/>
  <c r="O25" i="6"/>
  <c r="H25" i="6"/>
  <c r="O24" i="6"/>
  <c r="L24" i="6"/>
  <c r="H24" i="6" s="1"/>
  <c r="O23" i="6"/>
  <c r="L23" i="6"/>
  <c r="H23" i="6" s="1"/>
  <c r="O22" i="6"/>
  <c r="L22" i="6"/>
  <c r="H22" i="6" s="1"/>
  <c r="O21" i="6"/>
  <c r="L21" i="6"/>
  <c r="H21" i="6" s="1"/>
  <c r="O20" i="6"/>
  <c r="L20" i="6"/>
  <c r="H20" i="6" s="1"/>
  <c r="O19" i="6"/>
  <c r="L19" i="6"/>
  <c r="H19" i="6" s="1"/>
  <c r="O18" i="6"/>
  <c r="L18" i="6"/>
  <c r="H18" i="6" s="1"/>
  <c r="O17" i="6"/>
  <c r="L17" i="6"/>
  <c r="H17" i="6" s="1"/>
  <c r="O16" i="6"/>
  <c r="L16" i="6"/>
  <c r="H16" i="6" s="1"/>
  <c r="O15" i="6"/>
  <c r="L15" i="6"/>
  <c r="O14" i="6"/>
  <c r="L14" i="6"/>
  <c r="O13" i="6"/>
  <c r="L13" i="6"/>
  <c r="O12" i="6"/>
  <c r="L12" i="6"/>
  <c r="O11" i="6"/>
  <c r="L11" i="6"/>
  <c r="O10" i="6"/>
  <c r="L10" i="6"/>
  <c r="O9" i="6"/>
  <c r="L9" i="6"/>
  <c r="O8" i="6"/>
  <c r="L8" i="6"/>
  <c r="H8" i="6" s="1"/>
  <c r="O7" i="6"/>
  <c r="L7" i="6"/>
  <c r="H7" i="6" s="1"/>
  <c r="O6" i="6"/>
  <c r="L6" i="6"/>
  <c r="H6" i="6" s="1"/>
  <c r="O5" i="6"/>
  <c r="L5" i="6"/>
  <c r="H5" i="6" s="1"/>
  <c r="O4" i="6"/>
  <c r="L4" i="6"/>
  <c r="H4" i="6" s="1"/>
  <c r="O3" i="6"/>
  <c r="L3" i="6"/>
  <c r="H3" i="6" s="1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3" i="4"/>
  <c r="P27" i="6" l="1"/>
  <c r="I27" i="6"/>
  <c r="J27" i="6" s="1"/>
  <c r="I6" i="10"/>
  <c r="I6" i="9"/>
  <c r="I5" i="7"/>
  <c r="J5" i="7" s="1"/>
  <c r="I4" i="7"/>
  <c r="J4" i="7" s="1"/>
  <c r="I6" i="7"/>
  <c r="J6" i="7" s="1"/>
  <c r="P25" i="6"/>
  <c r="P26" i="6"/>
  <c r="I25" i="6"/>
  <c r="J25" i="6" s="1"/>
  <c r="P28" i="6"/>
  <c r="P3" i="6"/>
  <c r="I3" i="6"/>
  <c r="J3" i="6" s="1"/>
  <c r="I6" i="6"/>
  <c r="J6" i="6" s="1"/>
  <c r="P6" i="6"/>
  <c r="I8" i="6"/>
  <c r="J8" i="6" s="1"/>
  <c r="P8" i="6"/>
  <c r="I9" i="6"/>
  <c r="J9" i="6" s="1"/>
  <c r="P9" i="6"/>
  <c r="I10" i="6"/>
  <c r="J10" i="6" s="1"/>
  <c r="P10" i="6"/>
  <c r="P11" i="6"/>
  <c r="I11" i="6"/>
  <c r="J11" i="6" s="1"/>
  <c r="P12" i="6"/>
  <c r="I12" i="6"/>
  <c r="J12" i="6" s="1"/>
  <c r="P16" i="6"/>
  <c r="I16" i="6"/>
  <c r="J16" i="6" s="1"/>
  <c r="P18" i="6"/>
  <c r="I18" i="6"/>
  <c r="J18" i="6" s="1"/>
  <c r="P20" i="6"/>
  <c r="I20" i="6"/>
  <c r="J20" i="6" s="1"/>
  <c r="P23" i="6"/>
  <c r="I23" i="6"/>
  <c r="J23" i="6" s="1"/>
  <c r="I4" i="6"/>
  <c r="J4" i="6" s="1"/>
  <c r="P4" i="6"/>
  <c r="P5" i="6"/>
  <c r="I5" i="6"/>
  <c r="J5" i="6" s="1"/>
  <c r="I13" i="6"/>
  <c r="J13" i="6" s="1"/>
  <c r="P13" i="6"/>
  <c r="P14" i="6"/>
  <c r="I14" i="6"/>
  <c r="J14" i="6" s="1"/>
  <c r="P15" i="6"/>
  <c r="I15" i="6"/>
  <c r="J15" i="6" s="1"/>
  <c r="P17" i="6"/>
  <c r="I17" i="6"/>
  <c r="J17" i="6" s="1"/>
  <c r="P19" i="6"/>
  <c r="I19" i="6"/>
  <c r="J19" i="6" s="1"/>
  <c r="P21" i="6"/>
  <c r="I21" i="6"/>
  <c r="J21" i="6" s="1"/>
  <c r="P22" i="6"/>
  <c r="I22" i="6"/>
  <c r="J22" i="6" s="1"/>
  <c r="P24" i="6"/>
  <c r="I24" i="6"/>
  <c r="J24" i="6" s="1"/>
  <c r="P7" i="6"/>
  <c r="I7" i="6"/>
  <c r="J7" i="6" s="1"/>
  <c r="I30" i="6"/>
  <c r="J30" i="6" s="1"/>
  <c r="P30" i="6"/>
  <c r="I26" i="6"/>
  <c r="J26" i="6" s="1"/>
  <c r="P39" i="4"/>
  <c r="P38" i="4"/>
  <c r="P36" i="4"/>
  <c r="H37" i="4"/>
  <c r="I37" i="4" s="1"/>
  <c r="H39" i="4"/>
  <c r="H35" i="4"/>
  <c r="P35" i="4" s="1"/>
  <c r="H34" i="4"/>
  <c r="P34" i="4" s="1"/>
  <c r="L4" i="4"/>
  <c r="H4" i="4" s="1"/>
  <c r="P4" i="4" s="1"/>
  <c r="L5" i="4"/>
  <c r="H5" i="4" s="1"/>
  <c r="L6" i="4"/>
  <c r="H6" i="4" s="1"/>
  <c r="L7" i="4"/>
  <c r="H7" i="4" s="1"/>
  <c r="P7" i="4" s="1"/>
  <c r="L8" i="4"/>
  <c r="H8" i="4" s="1"/>
  <c r="P8" i="4" s="1"/>
  <c r="L9" i="4"/>
  <c r="H9" i="4" s="1"/>
  <c r="P9" i="4" s="1"/>
  <c r="L10" i="4"/>
  <c r="H10" i="4" s="1"/>
  <c r="I10" i="4" s="1"/>
  <c r="L11" i="4"/>
  <c r="H11" i="4" s="1"/>
  <c r="L12" i="4"/>
  <c r="H12" i="4" s="1"/>
  <c r="P12" i="4" s="1"/>
  <c r="L13" i="4"/>
  <c r="H13" i="4" s="1"/>
  <c r="L14" i="4"/>
  <c r="H14" i="4" s="1"/>
  <c r="L15" i="4"/>
  <c r="H15" i="4" s="1"/>
  <c r="P15" i="4" s="1"/>
  <c r="L16" i="4"/>
  <c r="H16" i="4" s="1"/>
  <c r="P16" i="4" s="1"/>
  <c r="L17" i="4"/>
  <c r="H17" i="4" s="1"/>
  <c r="P17" i="4" s="1"/>
  <c r="L18" i="4"/>
  <c r="H18" i="4" s="1"/>
  <c r="L19" i="4"/>
  <c r="H19" i="4" s="1"/>
  <c r="L20" i="4"/>
  <c r="H20" i="4" s="1"/>
  <c r="P20" i="4" s="1"/>
  <c r="L21" i="4"/>
  <c r="H21" i="4" s="1"/>
  <c r="L22" i="4"/>
  <c r="H22" i="4" s="1"/>
  <c r="L23" i="4"/>
  <c r="H23" i="4" s="1"/>
  <c r="P23" i="4" s="1"/>
  <c r="L24" i="4"/>
  <c r="H24" i="4" s="1"/>
  <c r="P24" i="4" s="1"/>
  <c r="L25" i="4"/>
  <c r="H25" i="4" s="1"/>
  <c r="P25" i="4" s="1"/>
  <c r="L26" i="4"/>
  <c r="H26" i="4" s="1"/>
  <c r="I26" i="4" s="1"/>
  <c r="L27" i="4"/>
  <c r="H27" i="4" s="1"/>
  <c r="L28" i="4"/>
  <c r="H28" i="4" s="1"/>
  <c r="P28" i="4" s="1"/>
  <c r="L29" i="4"/>
  <c r="H29" i="4" s="1"/>
  <c r="L30" i="4"/>
  <c r="H30" i="4" s="1"/>
  <c r="L31" i="4"/>
  <c r="H31" i="4" s="1"/>
  <c r="I31" i="4" s="1"/>
  <c r="J31" i="4" s="1"/>
  <c r="L32" i="4"/>
  <c r="H32" i="4" s="1"/>
  <c r="P32" i="4" s="1"/>
  <c r="L33" i="4"/>
  <c r="H33" i="4" s="1"/>
  <c r="P33" i="4" s="1"/>
  <c r="L3" i="4"/>
  <c r="H3" i="4" s="1"/>
  <c r="I3" i="4" s="1"/>
  <c r="J3" i="4" s="1"/>
  <c r="P3" i="4" l="1"/>
  <c r="I35" i="4"/>
  <c r="J35" i="4" s="1"/>
  <c r="I18" i="4"/>
  <c r="P18" i="4"/>
  <c r="I34" i="4"/>
  <c r="J34" i="4" s="1"/>
  <c r="P26" i="4"/>
  <c r="P37" i="4"/>
  <c r="P10" i="4"/>
  <c r="I19" i="4"/>
  <c r="J19" i="4" s="1"/>
  <c r="P19" i="4"/>
  <c r="P27" i="4"/>
  <c r="I27" i="4"/>
  <c r="J27" i="4" s="1"/>
  <c r="I30" i="4"/>
  <c r="P30" i="4"/>
  <c r="I22" i="4"/>
  <c r="P22" i="4"/>
  <c r="I14" i="4"/>
  <c r="J14" i="4" s="1"/>
  <c r="P14" i="4"/>
  <c r="I6" i="4"/>
  <c r="J6" i="4" s="1"/>
  <c r="P6" i="4"/>
  <c r="P11" i="4"/>
  <c r="I11" i="4"/>
  <c r="J11" i="4" s="1"/>
  <c r="P29" i="4"/>
  <c r="I29" i="4"/>
  <c r="J29" i="4" s="1"/>
  <c r="I21" i="4"/>
  <c r="J21" i="4" s="1"/>
  <c r="P21" i="4"/>
  <c r="P13" i="4"/>
  <c r="I13" i="4"/>
  <c r="J13" i="4" s="1"/>
  <c r="I5" i="4"/>
  <c r="J5" i="4" s="1"/>
  <c r="P5" i="4"/>
  <c r="I7" i="4"/>
  <c r="J7" i="4" s="1"/>
  <c r="I23" i="4"/>
  <c r="J23" i="4" s="1"/>
  <c r="I9" i="4"/>
  <c r="J9" i="4" s="1"/>
  <c r="I25" i="4"/>
  <c r="J25" i="4" s="1"/>
  <c r="P31" i="4"/>
  <c r="I15" i="4"/>
  <c r="J15" i="4" s="1"/>
  <c r="I17" i="4"/>
  <c r="J17" i="4" s="1"/>
  <c r="I33" i="4"/>
  <c r="J33" i="4" s="1"/>
  <c r="I10" i="7"/>
  <c r="I31" i="6"/>
  <c r="J37" i="4"/>
  <c r="I4" i="4"/>
  <c r="J4" i="4" s="1"/>
  <c r="I8" i="4"/>
  <c r="J8" i="4" s="1"/>
  <c r="I12" i="4"/>
  <c r="J12" i="4" s="1"/>
  <c r="I16" i="4"/>
  <c r="J16" i="4" s="1"/>
  <c r="I20" i="4"/>
  <c r="J20" i="4" s="1"/>
  <c r="I24" i="4"/>
  <c r="J24" i="4" s="1"/>
  <c r="I28" i="4"/>
  <c r="J28" i="4" s="1"/>
  <c r="I32" i="4"/>
  <c r="J32" i="4" s="1"/>
  <c r="J10" i="4"/>
  <c r="J18" i="4"/>
  <c r="J22" i="4"/>
  <c r="J26" i="4"/>
  <c r="J30" i="4"/>
  <c r="I39" i="4"/>
  <c r="J39" i="4" s="1"/>
  <c r="I40" i="4" l="1"/>
</calcChain>
</file>

<file path=xl/sharedStrings.xml><?xml version="1.0" encoding="utf-8"?>
<sst xmlns="http://schemas.openxmlformats.org/spreadsheetml/2006/main" count="2865" uniqueCount="845">
  <si>
    <t>Sl. No.</t>
  </si>
  <si>
    <t>DESCRIPTION</t>
  </si>
  <si>
    <t>UOM</t>
  </si>
  <si>
    <t>QTY</t>
  </si>
  <si>
    <t>HSN</t>
  </si>
  <si>
    <t>GST Rate</t>
  </si>
  <si>
    <t>Unit Rate-INR</t>
  </si>
  <si>
    <t>GST@ 18%</t>
  </si>
  <si>
    <t>SubTotal</t>
  </si>
  <si>
    <t>Grand Total-INR</t>
  </si>
  <si>
    <t>NOTE:</t>
  </si>
  <si>
    <t xml:space="preserve">CI confirms about 100% fitment &amp; interchangeability of offered products. In case of any discrepancy, CI will replace immediately for free of cost. </t>
  </si>
  <si>
    <t>Terms &amp; Conditions</t>
  </si>
  <si>
    <t xml:space="preserve">1. 
2. 
3. 
4. 
5.
6. 
7. 
8.
9. </t>
  </si>
  <si>
    <t>SPGCL/CAPITAL/19- 20/428</t>
  </si>
  <si>
    <t>PR No</t>
  </si>
  <si>
    <t>FCP 270 CONTROLLER- MODEL: PO917YZ, MAKE= FOXBORO</t>
  </si>
  <si>
    <t>SPLITTER/COMBINE  KIT FOR DCS-(WITH 2 MODULES), MODEL: P0926MX  MAKE-FOXBORO 2</t>
  </si>
  <si>
    <t>FEM100 MODUAL- MODEL:-P0973CA , MAKE-FOXBORO</t>
  </si>
  <si>
    <t>2 FCP SLOT VERT- BASEPLATE, TIME STROBE, MODEL.NO- P0926HW MAKE-FOXBORO</t>
  </si>
  <si>
    <t>2 WAY FCM BASE PLATE- MODEL.NO- P0926KE MAKE-FOXBORO</t>
  </si>
  <si>
    <t>4-SLOT VERTICAL FCP 270- EXPANSION BASE PLATE, MODEL.NO- P0973CN MAKE-FOXBORO</t>
  </si>
  <si>
    <t>FBM-211 (16 CH AI CARD) ,MODEL.:-P0914TN , MAKE-FOXBORO</t>
  </si>
  <si>
    <t>TCA FOR FBM-211,0-20 MA, INTERNAL SOURCE, MODEL:- P0916BT/JT , MAKE-FOXBORO</t>
  </si>
  <si>
    <t>FBM-214 (8 CH AO CARD),MODEL:-PO927AH , MAKE-FOXBORO</t>
  </si>
  <si>
    <t>TCA FOR FBM-214B, MODEL:-P0924JH, MAKE-FOXBORO</t>
  </si>
  <si>
    <t>FBM-237 (8 CH AO CARD),MODEL:-P0914XS, MAKE-FOXBORO</t>
  </si>
  <si>
    <t>TCA FOR FBM- 237, MODEL:- P0916CC MAKE-FOXBORO</t>
  </si>
  <si>
    <t>FBM-217 (32 CH DI CARD) MODEL:-P0914TR), MAKE-FOXBORO</t>
  </si>
  <si>
    <t>TCA FOR FBM- 217, MODEL:-P0916PW, MAKE-FOXBORO</t>
  </si>
  <si>
    <t>FBM-242(16 CH DO CARD) MODEL:-P0916PW, MAKE-FOXBORO</t>
  </si>
  <si>
    <t>TCA FOR FBM-212, MODEL:-P0916BV, MAKE-FOXBORO</t>
  </si>
  <si>
    <t>TCA FOR FBM-203, MODEL:-P0916AE MAKE-FOXBORO</t>
  </si>
  <si>
    <t>TCA FOR FBM- 206,MODEL:-P0916JQ , MAKE-FOXBORO</t>
  </si>
  <si>
    <t>TCA FOR FBM- 231, MODEL:-P0926GH , MAKE-FOXBORO</t>
  </si>
  <si>
    <t>POWER SUPPLY-FPS400- 24,MODEL:-P0922YU, MAKE-FOXBORO</t>
  </si>
  <si>
    <t>POWER CABLE FOR DCS-110/240 VAC FPS POWER CABLE, MODEL: P0926CM/DA,  MAKE-FOXBORO</t>
  </si>
  <si>
    <t>8 SLOT VERT BASE PLATE- TRIME STROBE, 8 FBM, MODEL:-P0926JM, MAKE-FOXBORO</t>
  </si>
  <si>
    <t>PREFAB CABLE-FBM2XX TYPE 1 TERM CABLE, MODEL- FBM2XXTYPE 1, MAKE-FOXBORO</t>
  </si>
  <si>
    <t>PREFAB CABLE-FBM2XX TYPE 4 TERM CABLE, MODEL- FBM2XXTYPE 4, MAKE-FOXBORO</t>
  </si>
  <si>
    <t>NETWORK SWITCH- ENTERASYS 8 GIGABIT UPLINK PORTS, MODEL- ENTERASYS, MAKE-FOXBORO</t>
  </si>
  <si>
    <t>LC-MTRJ PATCH CORD- FOR CABLE (50-60 MTRS LENGTH), MODEL:-LC- MTRJ FIBER OPTIC, MAKE-FOXBORO</t>
  </si>
  <si>
    <t>FIELDBUS BASEPLATE TERMINATORE-PART NO- P0916RB
MAKE-FOXBORO</t>
  </si>
  <si>
    <t>POWER SUPPLY OUTPUT CABLE-PART NO- P0926KL/KM/KP/KQ, MAKE-FOXBORO</t>
  </si>
  <si>
    <t>BASE TO BASE CABLE-2 MBPS,3M, MODEL:- P0916NC
MAKE-FOXBORO</t>
  </si>
  <si>
    <t>FBM-233 (FIELD BUS MODUAL ETHERNET),MODEL:- P0926GX MAKE-FOXBORO</t>
  </si>
  <si>
    <t>BASE TO BASE CABLE-2 MBPS, 0.5M, MODEL:- P0917JJ
MAKE-FOXBORO</t>
  </si>
  <si>
    <t>FBM-231 (RS485 FUR SERIAL PORT CARD),MODEL:-P0926GV MAKE-FOXBORO</t>
  </si>
  <si>
    <t>FBM-206 (8 CH PULSE INPUT CARD),MODEL:- P0916CQ
MAKE-FOXBORO</t>
  </si>
  <si>
    <t>FBM-212 (14 CH THERMOCOUPLE INPUT CARD),MODEL:-P0914XL MAKE-FOXBORO</t>
  </si>
  <si>
    <t>FBM-203 (8 CH RTD INPUT CARD),MODEL:-P0914SV
MAKE-FOXBORO</t>
  </si>
  <si>
    <t>Bai Rong-USD</t>
  </si>
  <si>
    <t>Bai Rong- RMB</t>
  </si>
  <si>
    <t>tridentautomation</t>
  </si>
  <si>
    <t>Need Item Pic showing complete model number</t>
  </si>
  <si>
    <t>GBIC Online</t>
  </si>
  <si>
    <t>Pcs</t>
  </si>
  <si>
    <t xml:space="preserve">Offer Basis FOR Plant basis.
Delivery Time: 12 to 14 weeks from date of receipt of confirm PO.
G/Warranty: 12 months from date of  DISPATCH - only for manufacturing defects
Payment Terms: 100% against irreversible LC at sight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</si>
  <si>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8-port mounting plate for RH102AR adaptors</t>
  </si>
  <si>
    <t>50 m, MMF, Fiber, MT-RJ To LC Adapter Cable</t>
  </si>
  <si>
    <t>Anne</t>
  </si>
  <si>
    <t>Considered</t>
  </si>
  <si>
    <t>Need item pic or exact part number required</t>
  </si>
  <si>
    <t>Motors for AC Scanner Cooling Air Fan</t>
  </si>
  <si>
    <t>Motor for Bearing Gear, 30KW, 55.1 A, 415V, 981 RPM JIAMUSI,Biaxial</t>
  </si>
  <si>
    <t>Motor for Lube Oil (For ID/FD/PA Fan), 2.2 KW, 415V, 1440 RPM, 4.6 A.LICHAO</t>
  </si>
  <si>
    <t>Motor for DC JOP, 30KW, 220V DC, 156.7 A, Field Current : 2.25 A, 1500 RPM, Ins Class : B, Duty – S1,</t>
  </si>
  <si>
    <t>Motors for AC JOP, 30 KW, 415V, 50.5 Amps, 1425 RPM, Ins Class-F,</t>
  </si>
  <si>
    <t>Motor for DC Scanner Cooling Air Fan, 18.5 KW</t>
  </si>
  <si>
    <t>Motor for Lube Oil (For Mill), 5.5 KW, 415V, 11A, 955 RPM, Ins. Class – F, Frame – 132 M, Duty : S1,</t>
  </si>
  <si>
    <t>Indian Make</t>
  </si>
  <si>
    <t>Regret</t>
  </si>
  <si>
    <t>SPGCL/CAPITAL/17-18/628</t>
  </si>
  <si>
    <t xml:space="preserve">Offer Basis FOR Plant basis.
Delivery Time: 12 to 14 weeks from date of receipt of confirm PO.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</si>
  <si>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DRAWING CONFIRMATION AWAITED FROM END USER</t>
  </si>
  <si>
    <t xml:space="preserve">PNEUMATIC ACTUATOR SEAL KIT
FIG NO-B08-2074B-02TY-E2",GLOBE VALVE,
SR.NO: ENCORDIAMOD-20120100099012
Make : Velan
</t>
  </si>
  <si>
    <t xml:space="preserve">PNEUMATIC ACTUATOR SEAL KIT-
FIG NO-B06-2074B-6TY-C11/4", GLOBE VLAVE, 
SR.NO: ENCORDIAMOD-2012010009001
Make : Velan
</t>
  </si>
  <si>
    <t xml:space="preserve">PNEUMATIC ACTUATOR SEAL KIT-
FIG NO-B07-8076Z-02TS-D11/2",GLOBE VALVE, 
SR.NO: ENCORDIAMOD-2012010009010
Make : Velan
</t>
  </si>
  <si>
    <t>SPGCL/Revenue/19-20/632</t>
  </si>
  <si>
    <t>DO-34H
usd 319</t>
  </si>
  <si>
    <t>DO-45H
usd 526</t>
  </si>
  <si>
    <t>SPGCL/REVENUE/19-20/680</t>
  </si>
  <si>
    <t>SPGCL/REVENUE/19-20/840</t>
  </si>
  <si>
    <t>FIBER GEAR ASSEMBLY FOR AGITATOR MOTOR (GEAR MOTOR) TYPE- 122YYJ-3-300/GR-2,3- PHASE,220W,50HZ,300 RPM</t>
  </si>
  <si>
    <t>AGITATOR MOTOR (GEAR MOTOR)-TYPE-122YYJ-3-
300/GR-2, 3- PHASE, 220W, 50HZ, 300 RPM</t>
  </si>
  <si>
    <t>AGITATOR MOTOR (GEAR MOTOR)-TYPE-122YYJ-3-300/GR-2, 3-PHASE, 220W, 50HZ, 300 RPM</t>
  </si>
  <si>
    <t>Electric position limit controller
Model: XCCGQ-Z16-ZD4
16 Digital Absolute Coding output
For Actuator Model: SND-Z90-18S, SND-Z120-18S</t>
  </si>
  <si>
    <t>Electric position limit controller
Model: XCCGQ-Z16-Z313
16 Digital Absolute Coding output
For Actuator Model: SND31-Z60-18S</t>
  </si>
  <si>
    <t>Electric position limit controller
Model: XCCGQ-Z16-Z314
16 Digital Absolute Coding output
For Actuator Model: SND31-Z90-Z18S</t>
  </si>
  <si>
    <t>Electric position limit controller
Model: XCCGQ-Z16-Z312
16 Digital Absolute Coding output
For Actuator Model: SND31-Z20-18S, SND31-Z30-24S, SND31-Z30-18S</t>
  </si>
  <si>
    <t>Three Phase Power Module
Model No: POWER 2.1
Dual DC24 output
For Actuator Model: SND-Q50-1S, SND-Q12.5-1S,
SND-Z90-18S, SND-Z120-18S</t>
  </si>
  <si>
    <t>Phase Sequence Detection Module
Model No: XXJC-1009
Four-output
For Actuator Model: SND-Q50-1S, SND-Q12.5-1S,
SND-Z90-18S, SND-Z120-18S</t>
  </si>
  <si>
    <t>Power Card
Model No: SND3-P
POWER SUPPLY:415VAC,
For Actuator Model: SND-31-Z20-18S, SND-31-Z30-18S
SND-31-Z60-18S, SND-31-Z90-18S, SND-31-Z120-18S,
SND-31-Z30-24S</t>
  </si>
  <si>
    <t>Extending Module
Model No: TP400-PLC-1009
Program version for SND-Z(B)&amp;SND-Q(B) series:1.6700
For Actuator Model: SND-Q50-1S, SND-Q12.5-1S,
SND-Z90-18S, SND-Z120-18S</t>
  </si>
  <si>
    <t>Knobs
Model No: SND-XN-ZD
Program version for SND-Z(B)&amp;SND-Q(B) series:1.6700
For Actuator Model: SND-Q50-1S, SND-Q12.5-1S,
SND-Z90-18S, SND-Z120-18S</t>
  </si>
  <si>
    <t>AC Contactors
POWER SUPPLY:415VAC
For Actuator Model: SND-Q50-1S, SND-Q12.5-1S,
SND-Z90-18S, SND-Z120-18S</t>
  </si>
  <si>
    <t>Client Sl No.</t>
  </si>
  <si>
    <t>Anne Discounted</t>
  </si>
  <si>
    <t>Total-INR</t>
  </si>
  <si>
    <t>GST as applicable on above. Present rate of 18%</t>
  </si>
  <si>
    <t>Control Card
Model No: SND3-c
Program version for SND-Z(B)&amp;SND-Q(B) series:1.6700F40
For Actuator Model: SND-31-Z20-18S, SND-31-Z30-18S
SND-31-Z60-18S, SND-31-Z90-18S, SND-31-Z120-18S,
SND-31-Z30-24S</t>
  </si>
  <si>
    <t>DC MOTOR-SEAL OIL PUMP H2 SIDE (DC), 5.5KW, 220V, 30.3A, Type- Z2-41-TH, 3000RPM, IP23, INS. CL.- B</t>
  </si>
  <si>
    <t>DC MOTOR-SEAL OIL PUMP AIR SIDE (DC), 13KW, 220V, 70.7A, Type- Z2-72-TH, INS. CL.-B, IP23</t>
  </si>
  <si>
    <t>DC MOTOR-AOP (DC), 40KW, 220V, 210A, Type- ZDB720TL3,  2950RPM,IP23, Ins. Class-F</t>
  </si>
  <si>
    <t>DC MOTOR-JOP (DC), 30KW, 220V, 156.7A,1500RPM,FIELD- 2.25A, Ins. Class- B, S1</t>
  </si>
  <si>
    <t>DC MOTOR-SCANNER COOLING AIR FAN MOTOR (DC MOTOR), 18.5KW, ARM-220V, ARM-99A, FIELD-220V, FIELD-0.90A, TYPE-ST SHUNT, M/C No.- DASH8008, FRAME- AFS225L, Ins. Cl.-F, Ref.-0BAD0085, 2900RPM, S1, EXTN- SELF, IP55, Cooling- IC0141, Eff.-85%, MTG.-83</t>
  </si>
  <si>
    <t>Client SAP Co.</t>
  </si>
  <si>
    <t>Hontai</t>
  </si>
  <si>
    <t>Gina</t>
  </si>
  <si>
    <t>Final Anne</t>
  </si>
  <si>
    <t xml:space="preserve">AC INDUCTION MOTOR - 1.5KW,415V,3.1A,2845RPM,50Hz,Type-YB2-90S-2, IP55,S1,Ins. Class: F,IP55 ,MAKE-CHAINES , FOR FUME EXTRACTOR IN SEAL OIL </t>
  </si>
  <si>
    <t>AC INDUCTION MOTOR - 22KW, 415V, 39A, 50Hz, 3phase Asynchronous Inverter Duty Motor, Type- ITL0002-1EA2 35AAA5-2 180M, IP55, 2925RPM, Ins. Cl.-F ,MAKE-BEIDE , FOR STATOR COOLING WATER PUMP</t>
  </si>
  <si>
    <t>AC INDUCTION MOTOR-45KW, 75.2A, 415V, 50Hz, 2960RPM, TYPE- YB2-225M-2, p.f.- 0.90, Ins. Cl.-F, IP55, S1 , MAKE-HANGZHOU CHOUANGDA EXPLOSION PROOF ELECTRICAL MOTOR CO. LTD , FOR AC AOP</t>
  </si>
  <si>
    <t>AC INDUCTION MOTOR-160KW, 415V,50Hz, 285A, Type- YE2-315L1-4, IMB3, 1485RPM, IP55,S1,p.f.-0.90, 3phase, Asynchronous motor, 50Hz,DELTA connected , MAKE-SIMO (CHAINES) FOR CCCW</t>
  </si>
  <si>
    <t>AC INDUCTION MOTORS - 18.5KW, 32.2A, 415V,2938RPM, INS. CLASS-F, MAKE-  JAINGSU XIANDE EXPLOSION , FOR HP START UP PUMP</t>
  </si>
  <si>
    <r>
      <t xml:space="preserve">AC INDUCTION MOTORS -  5.5KW, 415V, 10A, 2900RPM, Type- YP2-132S1-2TH, WIDE FREQUENCY AC IM, p.f.- 0.88, Make-WNM(CHAINES) ,FOR H2 SIDE AC SEAL OIL MOTOR
</t>
    </r>
    <r>
      <rPr>
        <b/>
        <u/>
        <sz val="10"/>
        <color rgb="FF000000"/>
        <rFont val="Tahoma"/>
        <family val="2"/>
      </rPr>
      <t>Model Upgraded to:YX3-132S1-2</t>
    </r>
  </si>
  <si>
    <r>
      <t xml:space="preserve">AC INDUCTION MOTOR-7.5KW, 380V, 14.5A, 50Hz, IP55, TYPE- YGE2-132S2-2, p.f.-0.89, IP55, 3PHASE, S1, MAKE-CHAINES , FOR GSC FAN MOTOR
</t>
    </r>
    <r>
      <rPr>
        <b/>
        <u/>
        <sz val="10"/>
        <color rgb="FF000000"/>
        <rFont val="Tahoma"/>
        <family val="2"/>
      </rPr>
      <t>Model Upgraded to:YE2-132S2-2P</t>
    </r>
  </si>
  <si>
    <t>AC INDUCTION MOTOR-2.2KW,415V,50Hz,1440rpm,pf-0.81,Type:-YX3100L14 , MAKE-MUG technologies (CHAINES MAKE), FOR ID, FD , PA LOP</t>
  </si>
  <si>
    <t>AC INDUCTION MOTOR-30KW, 415V, 50.5A,1425RPM,IP55, p.f.-0.88, CONN.-DELTA, FLAME PROOF 3 phase IM, INS. CL.-F, 79dB(A), TYPE- YB3-2001- , MAKE-NANYANG EXPLOSION PROTECTED GROUP CO. LTD. THE PEOPLE'S REPUBLIC OF CHINA , FOR AC JOP</t>
  </si>
  <si>
    <t>Indent No</t>
  </si>
  <si>
    <t>Will be Quoted Later</t>
  </si>
  <si>
    <t>Mentioned in Excel Sheet</t>
  </si>
  <si>
    <t>N/A</t>
  </si>
  <si>
    <t>Ribo</t>
  </si>
  <si>
    <t>Grandeh</t>
  </si>
  <si>
    <t xml:space="preserve">Inlet Loop coil based on the enquiry drawing (GA)
Tube: OD 47.63 mm x 4.5 mm thk. x
430 Mtrs. Approx.length  – SA 213 T91
Coil  support:  SS  304  
Weight: 9300 Kgs
</t>
  </si>
  <si>
    <t xml:space="preserve">Outlet Loop coils based on the enquiry drawing (GA)
Tube: OD 47.63 mm x 4.5 mm thk. x
430 Mtrs. Approx.length  – SA 213 T91
Coil  support:  SS  304 
Weight: 9300 Kgs
</t>
  </si>
  <si>
    <t>Set</t>
  </si>
  <si>
    <t>Note:</t>
  </si>
  <si>
    <t xml:space="preserve">1. 
2. 
3. 
4. 
5.
6. 
7. 
</t>
  </si>
  <si>
    <t xml:space="preserve">Offer Basis FOR Plant basis.
Delivery Time: 24 to 30 weeks from date of receipt of confirm PO.
Payment Terms: 50% advance along with the order &amp; remaining 50% against PI prior to dispatch. 
Offer Validity: 31 days from date of offer.
Any statutory changes in rate of tax etc will be applicable as on date of dispatch.
Minimum Order Qty: N/A
Standard packaging will be done for supply of above items.
</t>
  </si>
  <si>
    <t>The quoted price is on FOR Raigarh basis. In case of any variation in configuration / qty. / weight the quoted price and delivery shall be subject to revision.</t>
  </si>
  <si>
    <t>Coil with cartridge
SOLENOID VALVE, MODEL.NO-300AA00126A,
PART.NO- MCSCH230AG000010, VOLTAGE-230VAC,
Cartridge details are SV 13-12V-C-0-0-00
 MAKE-EATON VICKERS</t>
  </si>
  <si>
    <t>Coil with cartridge
SOLENOID VALVE, MODEL.NO-300AA00375A,
PART.NO- MCSCH220DG000010, VOLTAGE-220VDC,,
Cartridge details are SV 13-12V-C-0-0-00
 MAKE-EATON VICKERS</t>
  </si>
  <si>
    <t xml:space="preserve">SOLENOID VALVE, MODEL.N0-300AA00375A,
PART.NO-MCSCH220DG000010, DATE CODE-1410,
VOLTAGE-220VDC, MAKE-EATON VICKERS
</t>
  </si>
  <si>
    <t xml:space="preserve">  SOLENOID
PART NO.- DC 4V-3-2A-M-U-ED6-60
160 BAR/2300 PSI, VOLTAGE- 240V AC, ED-507827, MAKE- EATON VICKERS
</t>
  </si>
  <si>
    <t>DP SWITCH SPECIFICATION:-MODEL: BH-036001-036, PROOF RANGE- 1000 PSI, SR NO. 110704461, MAKE: SOR</t>
  </si>
  <si>
    <t xml:space="preserve">DP SWITCH SPECIFICATION:-MODEL: BH-036001-036, PROOF RANGE- 1000 PSI, SR NO. 110704412, MAKE: SOR </t>
  </si>
  <si>
    <t>DP SWITCH SPECIFICATION:-MODEL: 15RB-EE2-N4-014, PROOF RANGE- 1000 PSI, SR NO. 101003313, MAKE: SOR</t>
  </si>
  <si>
    <t>DP SWITCH SPECIFICATION:-MODEL: BH-036002-036, PROOF RANGE- 5000 PSI, SR NO. 120104517, MAKE: SOR</t>
  </si>
  <si>
    <t>DP SWITCH SPECIFICATION:-MODEL: BH-036018-036, PROOF RANGE- 1000 PSI, SR NO. 121005023, MAKE: SOR</t>
  </si>
  <si>
    <t>DP SWITCH SPECIFICATION:-MODEL: BH-036016-036, PROOF RANGE- 1000 PSI, SR NO. 121005007, MAKE: SOR</t>
  </si>
  <si>
    <t>PRESSURE SWITCH~ - MODEL: BH-036017-036, PROOF RANGE- 2500 PSI, SR. NO. 121005018, MAKE- SOR</t>
  </si>
  <si>
    <t>Pressure Switch Model: 1NN-K45-M4-F1A, S. NO. 130702440, Adjustable Range- 500- 4000 PSI, Over Range 5000 PSI,  Proof 6000 PSI, MAKE- SOR</t>
  </si>
  <si>
    <t>Transformer Cooling Fan, Sr. No. 1403535, Type: GFD370/150-860SFTH, Rotation: 1000 r/min, Voltage: 240V, Frequency: 50Hz, Power: 100W</t>
  </si>
  <si>
    <t>AC INDUCTION MOTORS -  30KW, 415V, 55.1A, 981RPM, TYPE- YB2 225M6, P.F.-0.83, EFF.- 91.3%, INS. CL.-F</t>
  </si>
  <si>
    <r>
      <t>AC INDUCTION MOTORS -</t>
    </r>
    <r>
      <rPr>
        <b/>
        <u/>
        <sz val="10"/>
        <color rgb="FF000000"/>
        <rFont val="Tahoma"/>
        <family val="2"/>
      </rPr>
      <t xml:space="preserve"> 15 KW</t>
    </r>
    <r>
      <rPr>
        <sz val="10"/>
        <color rgb="FF000000"/>
        <rFont val="Tahoma"/>
        <family val="2"/>
      </rPr>
      <t xml:space="preserve">, 415V, 28.9A, 50Hz, TYPE- 3MOT YP2180L6TH, 970 RPM, p.f.- 0.81, INS. CL.- F , MAKE-WNM , FOR AIR SIDE AC SEAL OIL MOTOR 
</t>
    </r>
    <r>
      <rPr>
        <b/>
        <u/>
        <sz val="10"/>
        <color rgb="FF000000"/>
        <rFont val="Tahoma"/>
        <family val="2"/>
      </rPr>
      <t>Model Upgraded to :YX3-180L-6</t>
    </r>
  </si>
  <si>
    <t>Self</t>
  </si>
  <si>
    <t xml:space="preserve">Offer Basis FOR Plant basis.
Delivery Time: 08 to 10 weeks from date of receipt of confirm PO.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</si>
  <si>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Pr No</t>
  </si>
  <si>
    <t>DIAPHRAGM-PNEUMATIC ACTUATOR 
Actuator Model:DO-45H
OEM: indigenized
Suitable for FIG NO-B07-8076Z-02TS-D11/2",GLOBE VALVE, SR.NO: ENCORDIAMOD-2012010009010</t>
  </si>
  <si>
    <t>DIAPHRAGM-PNEUMATIC ACTUATOR 
Actuator Model:DO-34H
OEM: indigenized
Suitable for FIG NO-B08-2074B-02TY-E2",GLOBE VALVE,
SR.NO: ENCORDIAMOD-20120100099012
&amp;
FIG NO-B06-2074B-6TY-C11/4", GLOBE VALVE,
SR.NO: ENCORDIAMOD-2012010009001</t>
  </si>
  <si>
    <t>SERVO VALVE
MODEL: SM4-20(15)57-80/40-10-S182-A,
MAX PORT PRESSURE: 210 BAR,
MAKE: EATON VICKERS</t>
  </si>
  <si>
    <t>Emma</t>
  </si>
  <si>
    <t>Sub Total</t>
  </si>
  <si>
    <t>LP Bypass Smart Positioner
Serial No: P1202383 – 2012
Input Signal : 4-20mA, Hart Communication, Pmax=10 Bar, Protection : IP66, 
Make : STI (As per end user Picture) 
Used for LP bypass pressure control valve STI Actuator serial No:A1210141.</t>
  </si>
  <si>
    <t>STI</t>
  </si>
  <si>
    <t xml:space="preserve">Offer Basis FOR Plant basis.
Delivery Time: 18 weeks from date of receipt of confirm PO.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</si>
  <si>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Item No</t>
  </si>
  <si>
    <t>GENERATOR SPARES - BRUSH BOX, DRG. NO. 04B0543</t>
  </si>
  <si>
    <t>Carbon Brush – 100 X 32 X 25 MM3 (LXBXW) for Generator</t>
  </si>
  <si>
    <t xml:space="preserve">Offer Basis FOR Plant basis.
Delivery Time: 10 weeks from date of receipt of confirm PO.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</si>
  <si>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Sugnme</t>
  </si>
  <si>
    <t>BRUSH HOLDING RINGING ASSEMBLY, DRWG.NO-01J6735S27
Each set comprises of Part No 3, 4, 5, 12, 22, 23, 24, 49 + Collector ring
of end user dwg</t>
  </si>
  <si>
    <t>73A.301.024</t>
  </si>
  <si>
    <t>MSV STEM,ITEM NO-4</t>
  </si>
  <si>
    <t>No</t>
  </si>
  <si>
    <t>73A.301.026</t>
  </si>
  <si>
    <t>RING ,ITEM NO-7</t>
  </si>
  <si>
    <t>73B.301.002</t>
  </si>
  <si>
    <t>VALVE DISK, ITEM NO-8</t>
  </si>
  <si>
    <t>73B.301.003</t>
  </si>
  <si>
    <t>EQUILIBRATED VALVE,ITEM NO-9</t>
  </si>
  <si>
    <t>73A.301.036</t>
  </si>
  <si>
    <t>WASHER ,THK-1mm,ITEM NO-19</t>
  </si>
  <si>
    <t>73A.301.037</t>
  </si>
  <si>
    <t>WASHER ,THK-0.5mm,ITEM NO-20</t>
  </si>
  <si>
    <t>73A.301.038</t>
  </si>
  <si>
    <t>WASHER ,THK-0.3mm,ITEM NO-21</t>
  </si>
  <si>
    <t>73A.301.039</t>
  </si>
  <si>
    <t>WASHER ,THK-0.1mm,ITEM NO-22</t>
  </si>
  <si>
    <t>Part Dwg No</t>
  </si>
  <si>
    <t>ITEM DESCRIPTION</t>
  </si>
  <si>
    <t xml:space="preserve">GASKET/WASHER KIT (The same shall consist of 
above mentioned Item No. 5, 6, 7, 8 and any 
other Washer/Gasket used in this Stop Valve) </t>
  </si>
  <si>
    <t>Will be checked &amp; offered later</t>
  </si>
  <si>
    <t>Item Code</t>
  </si>
  <si>
    <t>Servo Valve Part No.: G761 - 3028B / S63J0GA4VPL 
Make : Moog motion
With Sleeve Plate with Allen Key Bolt</t>
  </si>
  <si>
    <t xml:space="preserve">Offer Basis FOR Plant basis.
Delivery Time: 3 weeks from date of receipt of confirm PO (Delivery at Site shall be done by 25 March 21).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</si>
  <si>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Gasket Part No: K02.091.003</t>
  </si>
  <si>
    <t>Screw M8*10 B20.27</t>
  </si>
  <si>
    <t>Gasket Part No: K02.091.006</t>
  </si>
  <si>
    <t>Gasket Part No: K02.091.002</t>
  </si>
  <si>
    <t>Gasket Part No: K02.091.004</t>
  </si>
  <si>
    <t>Sungme</t>
  </si>
  <si>
    <t>VARIABLE DISPLACEMENT PISTON PUMP , A3H37-FR01KK-10-X33
MEDIUM- ISO VG 32 OIL (32L-TSA TURBINE OIL/GB 11120-89)
WORKING TEMP- 20 ~ 65 Deg C
FLOW- 37 CM3/REV 
MIN   FLOW- 16 CM3/REV
RATED WORKING  PRESS- 250 KG/CM2 MAX WORKING  PRESS- 350 KG/CM2 MAX SPEED- 2700 RPM
MIN SPEED- 600 RPM
DRIVE MOTOR DETAILS:
FRAME-YB2 -200L -4.B35
POWER- 30 KW
SPEED-1470 RPM
VOLTAGE- 415 V
FREQUENCY- 50 HZ
Make : Yuken
Made in Japan</t>
  </si>
  <si>
    <t xml:space="preserve">Offer Basis FOR Plant basis.
Delivery Time: 1 month from date of receipt of confirm PO.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</si>
  <si>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Sungme Old</t>
  </si>
  <si>
    <t>VALVE SLEEVE, K01B.314.007, 73B.314Z(B)</t>
  </si>
  <si>
    <t>VALVE SLEEVE, K01B.314.012, 73B.314Z(B)</t>
  </si>
  <si>
    <t>VALVE ROD, K01B.314.011, DRG-73B.314Z(B)</t>
  </si>
  <si>
    <t>GASKET AND PACKING SET, P- K01B.314Z(B)</t>
  </si>
  <si>
    <t>WASHER, P NO 73.314.014, DRG-73B.314Z(B)</t>
  </si>
  <si>
    <t>PLUG SCREW, K01B.314.010,DRG-73B.314Z(B)</t>
  </si>
  <si>
    <t>GLAND RING, K01B.314.014,DRG-73B.314Z(B)</t>
  </si>
  <si>
    <t>INNER HEX SCREW, PART DRG - 73.314.009</t>
  </si>
  <si>
    <t>Later</t>
  </si>
  <si>
    <t>Nord</t>
  </si>
  <si>
    <t>Oil Pump
Model No:02-151709
PVH098R01AJ30A250000002001AB010A
Make: Eaton Vickers</t>
  </si>
  <si>
    <t xml:space="preserve">Offer Basis FOR Plant basis.
Delivery Time: 4-5 weeks from date of receipt of confirm PO (Delivery at Site shall be done by 25 March 21).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</si>
  <si>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Country of Origin- USA</t>
  </si>
  <si>
    <r>
      <t xml:space="preserve">Network Switch
</t>
    </r>
    <r>
      <rPr>
        <b/>
        <u/>
        <sz val="10"/>
        <color rgb="FF000000"/>
        <rFont val="Calibri"/>
        <family val="2"/>
        <scheme val="minor"/>
      </rPr>
      <t>Part No.: P0973JN,</t>
    </r>
    <r>
      <rPr>
        <sz val="10"/>
        <color rgb="FF000000"/>
        <rFont val="Calibri"/>
        <family val="2"/>
        <scheme val="minor"/>
      </rPr>
      <t xml:space="preserve">  S/N EN13270782
Model No. A4H124-24FX
24 port managed switch
8 Gigabit uplink
Make Enterasys
For Foxboro Invensys</t>
    </r>
  </si>
  <si>
    <t xml:space="preserve">Offer Basis FOR Plant basis.
Delivery Time: 4-5 weeks from date of receipt of confirm PO.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</si>
  <si>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NA</t>
  </si>
  <si>
    <t xml:space="preserve">Item </t>
  </si>
  <si>
    <t>Maintanance Kit</t>
  </si>
  <si>
    <t>MSSV Actuator Assembly (Right) K02.331Z(B)-2</t>
  </si>
  <si>
    <t>RHSV Actuator Assembly (Left) K02A.332Z(B)-1</t>
  </si>
  <si>
    <t>GV Actuator Assembly K02.357Z(B)-2</t>
  </si>
  <si>
    <t>ICV Actuator Assembly (Right) K09.358Z(B)-4</t>
  </si>
  <si>
    <t xml:space="preserve">Offer Basis FOR Plant basis.
Delivery Time: 12 weeks from date of receipt of confirm PO.
G/Warranty: 12 months from date of  DISPATCH - only for manufacturing defects
Payment Terms: 100% against PI.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</si>
  <si>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Ea</t>
  </si>
  <si>
    <t>BLADE PITCH ACTUATOR PNEUMATIC CYLINDER
MAKE- STI,
Identification No/Tag No : A1408378</t>
  </si>
  <si>
    <t>BLADE PITCH ACTUATOR REPAIR KIT 
MAKE- MAXSTI PNEUMATIC ACTUATOR,
MODEL: CML2,
INDENT- A1405385/ A1408378,
STROKE- 200MM,
SIZE-100MM, ACTION- MOPU,</t>
  </si>
  <si>
    <t xml:space="preserve">Offer Basis FOR Plant basis.
Delivery Time: 08 weeks from date of receipt of confirm PO.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</si>
  <si>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P.0115910005
Kracht make  Gear Pump
Model : KF 1/20 D10K P0A 7DE1</t>
  </si>
  <si>
    <t xml:space="preserve">Offer Basis FOR Plant basis.
Delivery Time: 14-16 weeks from date of receipt of confirm PO.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</si>
  <si>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 xml:space="preserve">Bolt Type Orifice Dummy with Washer;
HEX PLUG,MOC: F 22; LENGTH: 127.20MM; </t>
  </si>
  <si>
    <t>Minimax</t>
  </si>
  <si>
    <t>Model</t>
  </si>
  <si>
    <t>BNA-304/02</t>
  </si>
  <si>
    <t>BNB-300/32</t>
  </si>
  <si>
    <t>BF-300</t>
  </si>
  <si>
    <t>BBR-230</t>
  </si>
  <si>
    <t>BN-310</t>
  </si>
  <si>
    <t>BSL-310</t>
  </si>
  <si>
    <t>INPUT/OUTPUT MODULE</t>
  </si>
  <si>
    <t>INPUT MODULE</t>
  </si>
  <si>
    <t>MCP</t>
  </si>
  <si>
    <t>HOOTER</t>
  </si>
  <si>
    <t>OUTPUT MODULE</t>
  </si>
  <si>
    <t>COMMUNICATION MODULE</t>
  </si>
  <si>
    <t>RESISTANCE - 4.7 KΩ</t>
  </si>
  <si>
    <t>RESISTANCE - 2.2 KΩ</t>
  </si>
  <si>
    <t>GST @ 18%</t>
  </si>
  <si>
    <t>Nordfluid</t>
  </si>
  <si>
    <t>Coil (300AA00375A)
Model Part No: MCSCH220DG000010
Make: Eaton Vickers</t>
  </si>
  <si>
    <t>Directional Valve (859171)
Model Part No: DG4V32AMUED660
Make: Vickers</t>
  </si>
  <si>
    <t>Screw-in Cartridge Valve (02-175828)
Model Part No: SV1312VC000220DGH
Make: Eaton Vickers</t>
  </si>
  <si>
    <t>Screw-in Cartridge Valves with Coil
SiCV Part No: SV1312VC0240AGH
Coil Part No: 300AA00126A
Make: Eaton Vickers</t>
  </si>
  <si>
    <t>Anne- Nov 22</t>
  </si>
  <si>
    <t>Obsolete</t>
  </si>
  <si>
    <t>Note: For item 4, 5 &amp; 7- we can offer alternative make with one to one replacement if acceptable to user</t>
  </si>
  <si>
    <r>
      <t xml:space="preserve">AC INDUCTION MOTORS -  5.5KW, 415V, 10A, 2900RPM, Type- YP2-132S1-2TH, WIDE FREQUENCY AC IM, p.f.- 0.88, Make-WNM(CHAINES) ,FOR H2 SIDE AC SEAL OIL MOTOR
</t>
    </r>
    <r>
      <rPr>
        <b/>
        <u/>
        <sz val="10"/>
        <color rgb="FF000000"/>
        <rFont val="Calibri"/>
        <family val="2"/>
        <scheme val="minor"/>
      </rPr>
      <t>Model Upgraded to:YX3-132S1-2</t>
    </r>
  </si>
  <si>
    <r>
      <t>AC INDUCTION MOTORS -</t>
    </r>
    <r>
      <rPr>
        <b/>
        <u/>
        <sz val="10"/>
        <color rgb="FF000000"/>
        <rFont val="Calibri"/>
        <family val="2"/>
        <scheme val="minor"/>
      </rPr>
      <t xml:space="preserve"> 15 KW</t>
    </r>
    <r>
      <rPr>
        <sz val="10"/>
        <color rgb="FF000000"/>
        <rFont val="Calibri"/>
        <family val="2"/>
        <scheme val="minor"/>
      </rPr>
      <t xml:space="preserve">, 415V, 28.9A, 50Hz, TYPE- 3MOT YP2180L6TH, 970 RPM, p.f.- 0.81, INS. CL.- F , MAKE-WNM , FOR AIR SIDE AC SEAL OIL MOTOR 
</t>
    </r>
    <r>
      <rPr>
        <b/>
        <u/>
        <sz val="10"/>
        <color rgb="FF000000"/>
        <rFont val="Calibri"/>
        <family val="2"/>
        <scheme val="minor"/>
      </rPr>
      <t>Model Upgraded to :YX3-180L-6</t>
    </r>
  </si>
  <si>
    <r>
      <t xml:space="preserve">AC INDUCTION MOTOR-7.5KW, 380V, 14.5A, 50Hz, IP55, TYPE- YGE2-132S2-2, p.f.-0.89, IP55, 3PHASE, S1, MAKE-CHAINES , FOR GSC FAN MOTOR
</t>
    </r>
    <r>
      <rPr>
        <b/>
        <u/>
        <sz val="10"/>
        <color rgb="FF000000"/>
        <rFont val="Calibri"/>
        <family val="2"/>
        <scheme val="minor"/>
      </rPr>
      <t>Model Upgraded to:YE2-132S2-2P</t>
    </r>
  </si>
  <si>
    <t>Nord fluid</t>
  </si>
  <si>
    <t>Need Part number</t>
  </si>
  <si>
    <t>Spare part for Hydraulic pump
Part No: 02-151709
Model-PVH098R01A250000002001AB010A</t>
  </si>
  <si>
    <t>Relief Valve
Model: ECT06B10TB
Part No 465507
Make: Vickers</t>
  </si>
  <si>
    <t>Hydraulic pump
Part No: 02-151709
Model-PVH098R01A250000002001AB010A
Make: Vickers</t>
  </si>
  <si>
    <t>SERVO VALVE, MODEL - G761-3039B,
(Servo Valve + Mounting Plate + 4Nos-Mounting Bolts), Make-Moog
Valve Version: [S] Standard Response,
Rated Flow: [63] 63 lpm (16.6 gpm) @500 psi drop (per spool land),
Maximum Operating Pressure: [J] 4,500 psi (315 Bar),
Maximum Operating Pressure Main Spool (BSA) Type: [O] 4-way / Axis cut / Linear Flow Pilot Stage Version: [G] Improved Dynamics,
Nozzle-Flapper Spool Position Without Electrical Signal: [A] Failsafe, P -&gt; B, A -&gt; T Pilot Connections: [4] Internal Pilot Supply,
Internal Return Seal Material: [V] FKM (Viton) Valve Connector: [P] 4 Pin MS Threaded Connector over Port P)
Signal Ranges: [L] +/- 40 mA Single With matching external mounting plate and matching O- rings, Suitable Allen key Bolts for mounting and 4 wire Pin connector cable of 500 mm Length
Make : Moog motion</t>
  </si>
  <si>
    <t>Alston</t>
  </si>
  <si>
    <t>FILTER CORE-DRG.NO - HQ25.600.14Z FOR OUTLET OF EH MAIN PUMP FOR DEH/EH SYSTEM Area : DEH_O/L</t>
  </si>
  <si>
    <t>Nos</t>
  </si>
  <si>
    <t>SPARE FOR DEH/EH SYSTEM - FILTER CORE FOR INLET OF EH MAIN PUMP EH, DRG. NO. HQ25.600.11Z, Area : MOP_SUCTIO</t>
  </si>
  <si>
    <t>SPARE FOR DEH/EH SYSTEM - FILTER CORE FOR INLET OF REGENERATIVE &amp; RECYCLE PUMP, DRG. NO. HQ25.600.12Z. Area : REGP_SUCTI</t>
  </si>
  <si>
    <t>SPARE FOR DEH/EH SYSTEM - FILTER CORE FOR OIL DRIVING BACK, DRG. NO. HQ25.600.15Z. Area : DP_RET_FIL</t>
  </si>
  <si>
    <t>INLINE FILTER ELEMENT, SIZE-115X35.5X26MM, FOR GV/TV/IPCV – 5 MICRON WITH SUPPORTED MESH (SS)
Item no.13, Part Drawing HQ25.10Z; Main Drg. K02.357Z(B)-2. Area : GV_INLINE</t>
  </si>
  <si>
    <t>BREATHERS; HPBC-102 FOR MOISTURE &amp; CONTAMINATION CONTROL DESICCANT MEDIA, FOR EH OIL TANK
Item no. 16, Part Drawing No. HQ-GLQL.001 (Air Cleaner); Main Drg.75D.330Z(B)-9 Area : DEH_BREATR</t>
  </si>
  <si>
    <t>RESIN FILTER,PART NO. HQ.25.600.20Z, APPLICATION:EH OIL SKID TAN CONTROLLED MACHINE Area : DEH_RESIN</t>
  </si>
  <si>
    <t>FIRST STAGE FILTER-PART: HQ.25.600.16Z, APPLICATION:EH OIL SKID TAN CONTROLLED MACHINE, Area : DEH_1ST+G11</t>
  </si>
  <si>
    <t>INLINE FILTER ASSEMBLY FOR MSV ACTUATOR ASSEMBLY, APPLICATION: EH OIL SKID TAN CONTROLLED MACHINE
Item no.7, part Drawing HQ25.10Z (Inside Cylinder HQ23.015); Main Drg. K02.331Z(B)-3, Area : DEH_MSV_IN</t>
  </si>
  <si>
    <t xml:space="preserve">Offer Basis FOR Plant basis.
Delivery Time: 8 weeks from date of receipt of confirm PO 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</si>
  <si>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FILTER FOR JACKING OIL 
MAIN DEVICE DRG. NO. 73B.570Z(B)-31 - FILTER
OUTLET VALVE BLOCK DRG. NO. JXY-HLW.YL2-3001- 
FILTER DRG. NO. LF.401</t>
  </si>
  <si>
    <t>BLADDER
of JOP SKID ACCUMULATOR,
item no:14, ACCUMULATOR DRG. NO. NXQ1-L2.5/31.5-H,
JOP DRG. NO. 73B.570Z(B)-31,
SUPPLIER:HTC, MANUFACTURER:HYDAC</t>
  </si>
  <si>
    <t>BLADDER
OF EH OIL SKID ACCUMULATOR,
ITEM NO:4, ACCUMULATOR DRG NO:CH01E.330.1Z,
EH FLUID POWER UNIT DWG NO:75D.330Z(B)-9,
SUPPLIER:HTC</t>
  </si>
  <si>
    <t>GENERATOR CARBON BRUSH
100X32X25 MM3 (LXBXW)
Grade-NCC634
Drawing No. GT08-12674-C-A/0</t>
  </si>
  <si>
    <t>CARBON BRUSH HOLDER
BRUSH BOX, DRG. NO. 04B0543 
FOR GENERATOR</t>
  </si>
  <si>
    <t>TURBINE SPEED SENSOR -DEH
LENGTH-7.6 CM
DIA-1.5 CM
MODEL-CS-1
MAKE-SHIZHONG
TYPE-MAGNETIC</t>
  </si>
  <si>
    <t>PEED DISPLAY UNIT
MODEL-HZQS-02A</t>
  </si>
  <si>
    <t>FILTER REGULATOR ASSEMBLY
MAKE : MUG Technologie,
TYPE : MZGL-110, 
NO. 201411-003,
Required for PA FAN LUBE OIL SYSTEM
Installed in PA Fan, Supplied by Shanghai Blowers</t>
  </si>
  <si>
    <t>Sealing Strips- Polymer
Outer Oil Deflector         
For generator
Drawing No: 01J3246S27 
Generator Make: Harbin Electric
Each generator 12 Rings make 1 set</t>
  </si>
  <si>
    <t>Sealing Strips- Copper
Outer Oil Deflector         
For generator
Drawing No: 01J3246S27 
Generator Make: Harbin Electric
Each generator 18 Rings make 1 set</t>
  </si>
  <si>
    <t>DIAPHRAGM FOR DMCW TANK LEVEL CONTROL VALVE
MODEL-48XFB
AIR SUPPLY-0.14 MPA
SPRING RANGE-0.5 TO 1.0 MPA
SR No.-1411294B
TRAVEL-30MM
MAKE-PNEUMATIC ACTUATOR</t>
  </si>
  <si>
    <t>DIAPHRAGM FOR CONTROL VALVE -MODEL-48EFB AIR SUPPLY-0.14 MPA
SPRING RANGE-0.5 TO 1.0 MPA
TRAVEL-30MM
SR No.-1411294A
MAKE-PNEUMATIC ACTUATOR</t>
  </si>
  <si>
    <t xml:space="preserve">Offer Basis FOR Plant basis.
Delivery Time: 6 weeks from date of receipt of confirm PO 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</si>
  <si>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Material Description</t>
  </si>
  <si>
    <t>Item No.</t>
  </si>
  <si>
    <t>Part Drawing No</t>
  </si>
  <si>
    <t xml:space="preserve">Adjusting Gasket </t>
  </si>
  <si>
    <t>73.050.020</t>
  </si>
  <si>
    <t>73.050.016</t>
  </si>
  <si>
    <t xml:space="preserve">PIN </t>
  </si>
  <si>
    <t>73.052.017</t>
  </si>
  <si>
    <t>73.050.018</t>
  </si>
  <si>
    <t xml:space="preserve">Screw M12x45 </t>
  </si>
  <si>
    <t>GB.70-85</t>
  </si>
  <si>
    <t xml:space="preserve">Gasket </t>
  </si>
  <si>
    <t>73.052.027</t>
  </si>
  <si>
    <t>73.052.028</t>
  </si>
  <si>
    <t xml:space="preserve">Pin </t>
  </si>
  <si>
    <t>73.052.029</t>
  </si>
  <si>
    <t xml:space="preserve">Spring </t>
  </si>
  <si>
    <t>73.052.030</t>
  </si>
  <si>
    <t>Spring</t>
  </si>
  <si>
    <t>H01.053.032</t>
  </si>
  <si>
    <t>support</t>
  </si>
  <si>
    <t>73C.054.001</t>
  </si>
  <si>
    <t>block</t>
  </si>
  <si>
    <t>H01.053.037</t>
  </si>
  <si>
    <t>support pin</t>
  </si>
  <si>
    <t>H01.053.038</t>
  </si>
  <si>
    <t>Oil Seal Ring</t>
  </si>
  <si>
    <t>V</t>
  </si>
  <si>
    <t>75B.055.8Z</t>
  </si>
  <si>
    <t>H01.053.32</t>
  </si>
  <si>
    <t>75C.054.001</t>
  </si>
  <si>
    <t>H01.053.37</t>
  </si>
  <si>
    <t>H01.053.38</t>
  </si>
  <si>
    <t>oil seal ring</t>
  </si>
  <si>
    <t>Main Dwg No</t>
  </si>
  <si>
    <t>73.050Z(B)</t>
  </si>
  <si>
    <t>73C.052Z(B)</t>
  </si>
  <si>
    <t>75B.055Z</t>
  </si>
  <si>
    <t>73B.54Z(B)-1</t>
  </si>
  <si>
    <t>I</t>
  </si>
  <si>
    <t>75B.055.3Z</t>
  </si>
  <si>
    <t>JB Enterprises - INR</t>
  </si>
  <si>
    <t>Outer Cover- Bearing Housing
Includes as below
1. Outershell
2. Fastners for parting plane
3. Dowel/Locating Pin</t>
  </si>
  <si>
    <t>73.050.1Z</t>
  </si>
  <si>
    <t>73.052.1Z</t>
  </si>
  <si>
    <t>73C.050Z(B)</t>
  </si>
  <si>
    <t>75B.054.11Z</t>
  </si>
  <si>
    <t>HP Start-up Pump 
Model SNH280R46U12.1-W27,Pump Outlet pressure-1Mpa,flow-548l/m(kinematic viscosity-40mm2/s),motor-18.5kw,2930rpm,</t>
  </si>
  <si>
    <t>QTY- Ea</t>
  </si>
  <si>
    <t>OEM Dwg No</t>
  </si>
  <si>
    <t>73B.450Z(B)-31</t>
  </si>
  <si>
    <t>73B.451Z(B)-31</t>
  </si>
  <si>
    <t>73B.452Z(B)-31</t>
  </si>
  <si>
    <t>Auxiliary Oil Pump
Model-vertical centrifugal oil pump ,Pump Outlet pressure-0.4Mpa,flow-3200l/m(kinematic viscosity-40mm2/s),motor-45kw,2970rpm,working temp-&lt;80 Deg C</t>
  </si>
  <si>
    <t>Emergency Oil Pump
Model-vertical centrifugal oil pump ,Pump Outlet pressure-0.4Mpa,flow-3200l/m(kinematic viscosity-40mm2/s),motor-40kw,voltage-220VDC,3000rpm,working temp-&lt;80 Deg C</t>
  </si>
  <si>
    <t xml:space="preserve">Offer Basis FOR Plant basis.
Delivery Time: 18 to 24 weeks from date of receipt of confirm PO 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</si>
  <si>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DIAPHRAGM-DMCW TANK  CONTROL  VALVE, "DIAPHRAGM FOR DMCW TANK LEVEL CONTROL VALVE
AIR SUPPLY-0- 10 KG/CM2
HOLE-18 NOS
DIAPHRAGM OD-445MM
DIAPHRAGM DEP-75MM
THIKNESS- 5 MM
MAKE-PNEUMATIC ACTUATOR "</t>
  </si>
  <si>
    <t>Freight</t>
  </si>
  <si>
    <t>Emma- Final</t>
  </si>
  <si>
    <t>SET</t>
  </si>
  <si>
    <t>NOS</t>
  </si>
  <si>
    <t>UoM</t>
  </si>
  <si>
    <t>Qty</t>
  </si>
  <si>
    <t>GASKET-BVP80-FM BFP WORKING OIL PHE
BFP WORKING GASKET-OIL COOLER TYPE-BVP80-FM) MANUFAUTURING CADE:BAVI-PHE-113094,
MAKE : BAVI</t>
  </si>
  <si>
    <t>END PLATE WITH GASKET- BVP80 WORKING PHE
BFP END PLATE WITH GASKET-WORKING  OIL COOLER TYPE-BVP80-FM) CODE:BAVI-PHE-113094,
MAKE : BAVI</t>
  </si>
  <si>
    <t>GASKET-BVP50-FM
BFP WORKING LUBE OIL GASKET, COOLER-TYPE-BVP50-FM) CODE:BAVI-PHE-113105,
MAKE : BAVI</t>
  </si>
  <si>
    <t>PLAT WITH GASKET- BVP50-FM BFP LUBE PHE
WORKING LUBE OIL PLAT WITH GASKET -COOLER   TYPE-BVP50-FM)
MANUFAUTURING CADE:BAVI-PHE-113105,
MAKE : BAVI</t>
  </si>
  <si>
    <t>END PLATE WITH GASKET- BVP50-FM LUBE  PH,
BFP WORKING LUBE OIL END PLATE WITH GASKET  COOLER TYPE-BVP50-FM) CADE:BAVI-PHE-113105,
MAKE : BAVI</t>
  </si>
  <si>
    <t>PLATE WITH GASKET-RZ40005O1B200 MOTPHE
SONDEX , PLATE WITH GASKET TYPE &amp; MEDIUM-S1 15-IS10 &amp; ISO VG 32/WATER,
SERIAL NO.- RZ40005O1B200
MAKE :SONDEX</t>
  </si>
  <si>
    <r>
      <t xml:space="preserve">PLATE WITH GASKET BVP80-FM
</t>
    </r>
    <r>
      <rPr>
        <b/>
        <u/>
        <sz val="10"/>
        <color rgb="FF000000"/>
        <rFont val="Calibri"/>
        <family val="2"/>
        <scheme val="minor"/>
      </rPr>
      <t>contains 205 NOS plates + 01 NOS dummy plate and GASKET</t>
    </r>
    <r>
      <rPr>
        <sz val="10"/>
        <color rgb="FF000000"/>
        <rFont val="Calibri"/>
        <family val="2"/>
        <scheme val="minor"/>
      </rPr>
      <t xml:space="preserve">
BFP WORKING  OIL PHE PLATE WITH GASKET COOLER, 
TYPE-BVP80-FM  CODE:BAVI-PHE-113094,
MAKE : BAVI</t>
    </r>
  </si>
  <si>
    <t>73B.311Z(B) HPCV</t>
  </si>
  <si>
    <t>VALVE SLEEVE for HPCV</t>
  </si>
  <si>
    <t>Client Item Code</t>
  </si>
  <si>
    <t>VALVE CORE PIN 10GAX50</t>
  </si>
  <si>
    <t xml:space="preserve"> 73A.301.022</t>
  </si>
  <si>
    <t>73B.301.2Z(B)</t>
  </si>
  <si>
    <t>SLEEVE, Valve Core</t>
  </si>
  <si>
    <t>73A.301.025</t>
  </si>
  <si>
    <t>RING,VALVE CORE</t>
  </si>
  <si>
    <t>73A.301.030</t>
  </si>
  <si>
    <t>SLEEVE, VALVE CORE</t>
  </si>
  <si>
    <t>73A.301.031</t>
  </si>
  <si>
    <t>PIN, VALVE CORE,</t>
  </si>
  <si>
    <t>73A.301.033</t>
  </si>
  <si>
    <t>SPLIT  PIN, VALVE CORE,</t>
  </si>
  <si>
    <t>SEAT VALVE CORE,</t>
  </si>
  <si>
    <t>3A.301.034</t>
  </si>
  <si>
    <t>3A.301.035</t>
  </si>
  <si>
    <t xml:space="preserve">SPIRAL TUBE PLUG Z 3/8" </t>
  </si>
  <si>
    <t>73.301.065</t>
  </si>
  <si>
    <t>73.301.043</t>
  </si>
  <si>
    <t>MAKE</t>
  </si>
  <si>
    <t>HTC</t>
  </si>
  <si>
    <t>K01B.314.008</t>
  </si>
  <si>
    <t>73B.314Z(B)</t>
  </si>
  <si>
    <t>VALVE PIN, IPCV MOC:2CR12NIMO1W1V,</t>
  </si>
  <si>
    <t>K01B.314.010</t>
  </si>
  <si>
    <t>PLUG SCREW, IPCV</t>
  </si>
  <si>
    <t>WASHER, IPCV</t>
  </si>
  <si>
    <t>QTY-Ea</t>
  </si>
  <si>
    <t>01</t>
  </si>
  <si>
    <t>73.091.047</t>
  </si>
  <si>
    <t>G07.091Z(B)-7</t>
  </si>
  <si>
    <t>CAP NUT, CROSS OVER PIPE</t>
  </si>
  <si>
    <t>GB5782-86</t>
  </si>
  <si>
    <t>73.026.ZB</t>
  </si>
  <si>
    <t>HEXAGONAL BOLT-
M39X3X210,45-I, LP OUTER CASING</t>
  </si>
  <si>
    <t>HT NUT-M33, GRADE-10.9</t>
  </si>
  <si>
    <t>HEXAGONAL BOLT 
M39X3X95, 
LP OUTER CASING SPLIT,</t>
  </si>
  <si>
    <t>73.026.Z(B)</t>
  </si>
  <si>
    <t>GB6170-86</t>
  </si>
  <si>
    <t>HEX NUT M27 
 LP OUTER CASING</t>
  </si>
  <si>
    <t>HEXAGONAL BOLT-M33X90
LP OUTER CASING SPLIT,</t>
  </si>
  <si>
    <t>73.026.004</t>
  </si>
  <si>
    <t>POSITIONING PIN
LP OUTER CASING</t>
  </si>
  <si>
    <t>73.026.003</t>
  </si>
  <si>
    <t>HEX BOLT
LP OUTER CASING,</t>
  </si>
  <si>
    <t>B97.1-85</t>
  </si>
  <si>
    <t>WASHER M33
LP OUTER CASING</t>
  </si>
  <si>
    <t>73.026.002</t>
  </si>
  <si>
    <t>BOLT FOR LP OUTER CASING SPLIT REAMER STUD BOLT</t>
  </si>
  <si>
    <t>HEXAGONAL BOLT M33X95
LP OUTER CASING SPLIT,</t>
  </si>
  <si>
    <t>HEXAGONAL BOLT -M33X110,
LP OUTER CASING SPLIT,</t>
  </si>
  <si>
    <t>HEXAGONAL BOLT-M110
LP OUTER CASING SPLIT,</t>
  </si>
  <si>
    <t>HEXAGONAL BOLT- 39X3X190
LP OUTER CASING SPLIT</t>
  </si>
  <si>
    <t>73.026.008</t>
  </si>
  <si>
    <t>HEXAGONAL BOLT-
M 39X3X210,45-I</t>
  </si>
  <si>
    <t>HEXAGONAL BOLT M39X3</t>
  </si>
  <si>
    <t>HEXAGONAL BOLT- 
M39X3X130</t>
  </si>
  <si>
    <t>II</t>
  </si>
  <si>
    <t>73B.069.4Z</t>
  </si>
  <si>
    <t>GLAND OF LP OUTER CASING ,ITEM NO-II, PART DRG-, MAIN DRG- ,LPT</t>
  </si>
  <si>
    <t>73B.069Z(B)</t>
  </si>
  <si>
    <t>SPARES FOR TURBINE GASKET, PKG. NO. , DRG. NO.</t>
  </si>
  <si>
    <t xml:space="preserve"> K02.091.003
YD-SKS-08-1 # 5/7</t>
  </si>
  <si>
    <t>K02.091.006
YD-SKS-08-1 # 5/7,</t>
  </si>
  <si>
    <t>73.091.49</t>
  </si>
  <si>
    <t>G07.091ZB-78</t>
  </si>
  <si>
    <t>HEXAGONAL BOLT 
M33X115, 
25CRMOVA-IV</t>
  </si>
  <si>
    <t>K02.091.002</t>
  </si>
  <si>
    <t>G07.091Z(B)-78,</t>
  </si>
  <si>
    <t>GASKET</t>
  </si>
  <si>
    <t>SPARES FOR TURBINE GASKET, PKG. NO.  DRG. NO</t>
  </si>
  <si>
    <t>HEXAGONAL HEAD BOLT,</t>
  </si>
  <si>
    <t>GENERAL DRAWING OF HP/IP ROTOR 73B.271Z(B)-28 - ASSEMBLY DRG FOR IP FORWARD BLADES, DRG. NO. 73B.203Z- HEXAGONAL HEAD BOLT, DRG. NO. 73.276.009,</t>
  </si>
  <si>
    <t>Item/Part Dwg/Main Dwg No- Details</t>
  </si>
  <si>
    <t>SPACIAL WASHER FOR COUPLING PART NO:-73.276.010,</t>
  </si>
  <si>
    <t>SPECIAL WASHER FOR COUPLING PART NO:-73.276.010,</t>
  </si>
  <si>
    <t xml:space="preserve">SPACIAL WASHER </t>
  </si>
  <si>
    <t>LP ROTOR SPECIAL NUT</t>
  </si>
  <si>
    <t>GENERAL DRAWING OF LP ROTOR SPECIAL NUT, DRG. NO. 73.276.008/ 73B.273Z(B)-28,</t>
  </si>
  <si>
    <t>LP ROTOR COUPLING REAMER BOLT</t>
  </si>
  <si>
    <t>GENERAL DRAWING OF HP/IP ROTOR 73B.271Z(B)-28 - ASSEMBLY DRG FOR IP FORWARD BLADES, DRG. NO. 73B.203Z- , DRG. NO. 73.276.009,</t>
  </si>
  <si>
    <t>HEXAGONAL HEAD BOLT</t>
  </si>
  <si>
    <t>GENERAL DRAWING OF LP ROTOR COUPLING REAMER BOLT, DRG. NO. 73.276.006/73B.273Z(B)-28,</t>
  </si>
  <si>
    <t>SPACIAL WASHER</t>
  </si>
  <si>
    <t>COUPLING BOLT</t>
  </si>
  <si>
    <t>COUPLING BOLT ;PART DRG:73.276.013; SL NO:6
MAIN DRG NO:73B.273Z(B)-29,</t>
  </si>
  <si>
    <t>TURBINE OIL SYSTEM THRUST BEARING 73C.051Z(B)- SPECIAL SCREW TO OPEN THE TOP, DRG. NO. 73.051.021/SECTION 73B.000.2M(B)-31,</t>
  </si>
  <si>
    <t>TURBINE OIL SYSTEM THRUST BEARING 73C.051Z(B)- LOCATING SCREW, DRG NO. 73.051.019/SECTION 73B.000.2M(B)-31,</t>
  </si>
  <si>
    <t>TURBINE OIL SYSTEM THRUST BEARING 73C.051Z(B)- THROTTLING ADJUSTMENT SCREW, DRG. NO. 73.051.020/SECTION 73B.000.2M(B)-31,</t>
  </si>
  <si>
    <t>SPARES FOR TURBINE OIL SYSTEM SPARE PART - THRUST PAD, PKG. NO. YD-SKS-13-1 # 4/13, DRG. NO. 73.051.026,</t>
  </si>
  <si>
    <t>SPARES FOR TURBINE OIL SYSTEM SPARE PART - THRUST PAD, PKG. NO. YD-SKS-13-1 # 4/13, DRG. NO. 73.051.025,</t>
  </si>
  <si>
    <t>SPARES FOR TURBINE OIL SYSTEM SPARE PART - THRUST PAD, PKG. NO. YD-SKS-13-1 # 4/13, DRG. NO. 73.051.024,</t>
  </si>
  <si>
    <t>SPARES FOR TURBINE OIL SYSTEM SPARE PART - THRUST PAD, PKG. NO. YD-SKS-13-1 # 4/13, DRG. NO. 73.051.027,</t>
  </si>
  <si>
    <t>TURBINE OIL SYSTEM OIL SEAL RING, DRG. NO. 73.050.5Z, JOURNAL BEARING (DIA 304.8) NO1, 73C.050Z(B),</t>
  </si>
  <si>
    <t>BEARING SHELL,MAIN DRAWING NO.73C.050Z(B),PART DWG NO 73.050.1Z,ITEM NO I,BEARING NO.1 DIA 304.8MM,</t>
  </si>
  <si>
    <t>BEARING HOUSING,MAIN DRAWING NO.73C.052Z(B),PART DWG NO 73.052.1Z,ITEM NO I,BEARING NO.2 DIA 355.6MM,</t>
  </si>
  <si>
    <t>TURBINE OIL SYSTEM JOURNAL OIL SEAL RING, DRG. NO. 73.052.6Z/BEARING (DIA 355.6)NO2, 73.052.4Z,</t>
  </si>
  <si>
    <t>TURBINE OIL SYSTEM JOURNAL OIL SEAL RING, DRG. NO. 73.052.7Z (SET)/BEARING (DIA 355.6)NO2, 73.052.4Z,</t>
  </si>
  <si>
    <t>TURBINE OIL SYSTEM BEARING AND SUPPORT OIL SEAL RING, DRG. NO. 75B.055.8Z/NO3, 75B.054Z(B)-1NO3,</t>
  </si>
  <si>
    <t>Main System/ Dwg No.</t>
  </si>
  <si>
    <t>SPECIAL SCREW TO OPEN THE TOP</t>
  </si>
  <si>
    <t>LOCATING SCREW</t>
  </si>
  <si>
    <t>THROTTLING ADJUSTMENT SCREW</t>
  </si>
  <si>
    <t>THRUST PAD</t>
  </si>
  <si>
    <t>73.051.021</t>
  </si>
  <si>
    <t>73.051.019</t>
  </si>
  <si>
    <t>73.051.020</t>
  </si>
  <si>
    <t>Part No</t>
  </si>
  <si>
    <t>73.051.025</t>
  </si>
  <si>
    <t>73.051.027</t>
  </si>
  <si>
    <t>73.051.026</t>
  </si>
  <si>
    <t>OIL SEAL RING</t>
  </si>
  <si>
    <t>73.050.5Z, JOURNAL BEARING (DIA 304.8)</t>
  </si>
  <si>
    <t>BEARING SHELL</t>
  </si>
  <si>
    <t>73.050.1Z,
ITEM NO I,</t>
  </si>
  <si>
    <t>BEARING HOUSING,</t>
  </si>
  <si>
    <t>73.052.1Z,ITEM NO I</t>
  </si>
  <si>
    <t>73.052.6Z/BEARING (DIA 355.6)NO2</t>
  </si>
  <si>
    <t>73.052.7Z (SET)/BEARING (DIA 355.6)NO2</t>
  </si>
  <si>
    <t xml:space="preserve"> DRG. NO. 75B.055.8Z/NO3, 75B.054Z(B)-1NO3</t>
  </si>
  <si>
    <t xml:space="preserve">HYDROGEN SEALS - SPARE SEALING BUSH (STEAM) </t>
  </si>
  <si>
    <t xml:space="preserve">HYDROGEN SEALS - SPARE SEALING BUSH (EXCITATION) </t>
  </si>
  <si>
    <t xml:space="preserve">PART DRG. NO.02A4686,
(Main drawing number 02A3306-07S27
OEM - M/s Herbin Electric Machinery company limited </t>
  </si>
  <si>
    <t xml:space="preserve">PART DRG. NO.02A4685,
(Main drawing number 02A3306-07S27
OEM - M/s Herbin Electric Machinery company limited </t>
  </si>
  <si>
    <t xml:space="preserve">Offer Basis FOR Plant basis.
Delivery Time: 12-16 weeks from date of receipt of confirm PO 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</si>
  <si>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OIL FILTER - 73B.470Z</t>
  </si>
  <si>
    <t>SPARES FOR TURBINE 
OIL FILTER - 73B.470Z
(Equipment Type:-73B.470Z(B)-31,Serial No- 1208)
EQUIPMENT MAKE : CHANGZHOU SIYUAN ELECTRICAL POWER EQUIPEMENT POWER CO LTD
Note : OIl Filter 1 Set consists of 50 Disc.</t>
  </si>
  <si>
    <t>6-WAY VALVE, 
MODEL- B6QHF-16P DN200</t>
  </si>
  <si>
    <t>SIX WAY VALVE MOT LUBE OIL PHE
6-WAY VALVE, 
MODEL- B6QHF-16P DN200, S.NO- L31706-1,
(EQUIPMENT MODEL NO. B6QHF-16P DN200)
MAKE : SHENYANG SHENGSHI HIGH PRESSURE VALVE MANUFACTURING CO LTD</t>
  </si>
  <si>
    <t>SPARES FOR GENERATOR INSULATION PIPE,
PKG. NO. SKS-AC00318-210-F-34/43,
DRG. NO.05D8833,
(GENERATOR MAKE : HERBIN ELECTRIC
MACHINERY COMPANY LIMITED)</t>
  </si>
  <si>
    <t>Material Description &amp; Item/Part Dwg/Main Dwg No- Details</t>
  </si>
  <si>
    <t>Remarks/Inputs Required</t>
  </si>
  <si>
    <t>Meter</t>
  </si>
  <si>
    <t>SEALING PROFILE FOR COOLER
(GENERATOR MAKE : HERBIN ELECTRIC MACHINERY COMPANY LIMITED)</t>
  </si>
  <si>
    <t>Item details like drawing, part number &amp; pics are required</t>
  </si>
  <si>
    <t>Inputs Required</t>
  </si>
  <si>
    <t>Bushing Drawing, serial number etc or nameplate pic required in case of ordering</t>
  </si>
  <si>
    <t>HV BUSHING - 36KV ,3150AMP WITH METAL PART AND GASKET ASSEMBLY,
(GENERATOR MAKE : HERBIN ELECTRIC MACHINERY COMPANY LIMITED)</t>
  </si>
  <si>
    <t>SPARES FOR GENERATOR INSULATION PIPE,
PKG. NO. SKS-AC00318-210-F-34/43,
DRG. NO.05D8838,
(GENERATOR MAKE : HERBIN ELECTRIC MACHINERY COMPANY LIMITED)</t>
  </si>
  <si>
    <t>SPARES FOR GENERATOR INSULATION PIPE,
PKG. NO. SKS-AC00318-210-F-34/43,DRG. NO.05D8830,
(GENERATOR MAKE : HERBIN ELECTRIC MACHINERY COMPANY LIMITED)</t>
  </si>
  <si>
    <t>SPARES FOR GENERATOR INSULATION PIPE,
PKG. NO. SKS-AC00318-210-F-34/43, DRG. NO.05D8839,
(GENERATOR MAKE : HERBIN ELECTRIC MACHINERY COMPANY LIMITED)</t>
  </si>
  <si>
    <t>SPARES FOR GENERATOR INSULATION PIPE,
PKG. NO. SKS-AC00318-210-F-34/43, DRG. NO.05D8829,
(GENERATOR MAKE : HERBIN ELECTRIC MACHINERY COMPANY LIMITED)</t>
  </si>
  <si>
    <t>Item to be marked on drawing for confirmation prior to ordering</t>
  </si>
  <si>
    <t xml:space="preserve">Offer Basis FOR Plant basis.
Delivery Time: 4-6 weeks from date of receipt of confirm PO 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</si>
  <si>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 xml:space="preserve">Offer Basis Ex Works. (Air freight shall be charged as extra at th rate of INR 700/Kg + GST)
Delivery Time: 6 weeks from date of receipt of confirm PO 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</si>
  <si>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It’s a Sealing Ring</t>
  </si>
  <si>
    <t>Remarks</t>
  </si>
  <si>
    <t>NOTE: 4000018826- offered item is a sealing ring.</t>
  </si>
  <si>
    <t>OIL SEAL RING
73.052.7Z</t>
  </si>
  <si>
    <r>
      <t xml:space="preserve">OIL SEAL RING,
</t>
    </r>
    <r>
      <rPr>
        <b/>
        <u/>
        <sz val="10"/>
        <color rgb="FF000000"/>
        <rFont val="Calibri Light"/>
        <family val="2"/>
      </rPr>
      <t>75B.055.8Z</t>
    </r>
  </si>
  <si>
    <t>73.051.024</t>
  </si>
  <si>
    <t>Note: Item Code 4000018241 &amp; 4000018242 shall be of heavy weight &amp; need 45 days manufacturing lead time.</t>
  </si>
  <si>
    <t>HMI with program
FOR COLTC SYSTEM
MODEL-MT6100I V3WV,S/N:120641489,
I/P POWER-24VDC+-20%,300MA@24VDC,OPERATING TEMP-50 DEGREE C
HUMIDITY -10-90%RH(NON CONDENSATE)</t>
  </si>
  <si>
    <t>Note: Without program- Price is INR 45000 Ea +GST</t>
  </si>
  <si>
    <t>73.311.014</t>
  </si>
  <si>
    <t>MOT - SCREW PUMP SN280R54U12.1- W27,
PUMP CAPACITY- MODLE -SNH280R54U12.1-W27, DRG NO-73B.560Z(B)-31,
FLOW-360L/MIN,
POWER-5.5KW
MAKE : TIANIN HUAMAN PUMPS GROUP CO LTD</t>
  </si>
  <si>
    <t xml:space="preserve">Offer Basis FOR Plant basis.
Delivery Time: 18 weeks from date of receipt of confirm PO 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</si>
  <si>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PR No.</t>
  </si>
  <si>
    <t>Sr No.</t>
  </si>
  <si>
    <t>NFA No.</t>
  </si>
  <si>
    <t>PR Item #</t>
  </si>
  <si>
    <t xml:space="preserve"> TURBINE OIL SYSTEM FLOAT SEALING RING (DEXTROROTATORY) DRG. NO. 73.051.12Z/THRUST BEARING 73C.051Z(B),
(TURBINE MAKE : HERBIN ELECTRIC MACHINERY COMPANY LIMITED)</t>
  </si>
  <si>
    <t>TURBINE OIL SYSTEM FLOAT SEALING RING (LEVOROTATORY) DRG. NO. 73.051.15Z/THRUST BEARING 73C.051Z(B),
(TURBINE MAKE : HERBIN ELECTRIC MACHINERY COMPANY LIMITED)</t>
  </si>
  <si>
    <t xml:space="preserve"> TURBINE OIL SYSTEM OIL SEAL STRIP, DRG. NO. 73.076.006/BEARING HOUSING OIL SEALING 73.076Z(B),
(TURBINE MAKE : HERBIN ELECTRIC MACHINERY COMPANY LIMITED)</t>
  </si>
  <si>
    <t xml:space="preserve"> BEARING HOUSING OIL SEALING 73.077Z(B) SPECIFICATION:-OIL SEAL STRIP, DRG. NO. 73.077.005,
(TURBINE MAKE : HERBIN ELECTRIC MACHINERY COMPANY LIMITED)</t>
  </si>
  <si>
    <t>BEARING HOUSING OIL SEALING 73.078Z(B) OIL SEAL STRIP, DRG. NO. 73.078.004,
(TURBINE MAKE : HERBIN ELECTRIC MACHINERY COMPANY LIMITED)</t>
  </si>
  <si>
    <t>BEARING HOUSING OIL SEALING 73.079Z(B) OIL SEAL STRIP, DRG. NO.73.079.003,
(TURBINE MAKE : HERBIN ELECTRIC MACHINERY COMPANY LIMITED)</t>
  </si>
  <si>
    <t xml:space="preserve">Offer Basis: FOR Plant basis. (Air freight shall be charged as extra at th rate of INR 700/Kg + GST)
Delivery Time: 18 weeks from date of receipt of confirm PO 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</si>
  <si>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Alston New</t>
  </si>
  <si>
    <t>GASKET FOR SEAL BODY OF GENERATOR,
(GENERATOR MAKE : HERBIN ELECTRIC MACHINERY COMPANY LIMITED)</t>
  </si>
  <si>
    <t>GENERATOR SPARES - SEALING GLUE,
DRG. NO. HDJ-892,
(GENERATOR MAKE : HERBIN ELECTRIC MACHINERY COMPANY LIMITED)</t>
  </si>
  <si>
    <t>GENERATOR END SHIELD BOLT DRG NO 01J3246S27 ITEM NO.2,
(GENERATOR MAKE : HERBIN ELECTRIC MACHINERY COMPANY LIMITED</t>
  </si>
  <si>
    <t xml:space="preserve">Offer Basis: FOR Plant basis. (Air freight shall be charged as extra at th rate of INR 700/Kg + GST)
Delivery Time: 12 weeks from date of receipt of confirm PO 
G/Warranty: 12 months from date of  DISPATCH - only for manufacturing defects
Payment Terms: 100% against PI prior to dispatch. 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</si>
  <si>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GENERATOR SPARES - GLUE GUN, DRG. NO. 04C4824,
(GENERATOR MAKE : HERBIN ELECTRIC MACHINERY COMPANY LIMITED)</t>
  </si>
  <si>
    <t>Sl No</t>
  </si>
  <si>
    <t xml:space="preserve">Offer Basis: FOR Plant basis.
Delivery Time: 12 weeks from date of receipt of confirm PO 
G/Warranty: 12 months from date of  DISPATCH - only for manufacturing defects
Payment Terms: 100% along with taxes etc. agsinst PI.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</si>
  <si>
    <t>MTR</t>
  </si>
  <si>
    <t>Nos.</t>
  </si>
  <si>
    <t>1GHZ CPU WITH 64MB MEMORY PART NO. IC695CRU320, MAKE- GE</t>
  </si>
  <si>
    <t>ETHERNET MODULE 10/100 MBITSPART NO:-IC695ETM001</t>
  </si>
  <si>
    <t>MEMORY EXCHANGE MODULE PART NO:-IC695RMX128</t>
  </si>
  <si>
    <t>PROFINET CONTROLLER MODULE - PART NO. IC695PNC001, MAKE- GE</t>
  </si>
  <si>
    <t>REMOTE I/O PROFINET NETWORK MODULE - PART NO. IC200PNS001, MAKE- GEIP</t>
  </si>
  <si>
    <t>RX3I 12 SLOT UNIVERSAL BASE PLATE - PART NO. IC695CHS012, MAKE- GE</t>
  </si>
  <si>
    <t>RX3I POWER SUPPLY 24V DC MODULE - PART NO. IC695PSD140, MAKE- GE</t>
  </si>
  <si>
    <t>GENIUS BUS CONTROLLER MODULE PART NO:-IC694BEM331</t>
  </si>
  <si>
    <t>SWITCH MODE POWER SUPPLY , INPUT-100-240VAC, OUTPUT- 24VDC/5A</t>
  </si>
  <si>
    <t>SWITCH MODE POWER SUPPLY, INPUT-100-240VAC, OUTPUT- 24VDC/10A</t>
  </si>
  <si>
    <t>SWITCH MODE POWER SUPPLY, INPUT-100-240VAC, OUTPUT- 24VDC/20A</t>
  </si>
  <si>
    <t>ORING DIODE, O/P CURRENT 10 AMP</t>
  </si>
  <si>
    <t>POWER SUPPLY MODULE - PART NO. IC200PWR002, MAKE- GEIP</t>
  </si>
  <si>
    <t>RTD MODULES (4 CHANNELS) - PART NO. IC200ALG620, MAKE- GEIP</t>
  </si>
  <si>
    <t>ANOLOG INPUT  (08 CHANNEL), PART NO. IC200ALG260H, 24VDC ,12 BIT CURRENT, 8CH</t>
  </si>
  <si>
    <t>ANOLOG OUTPUT  (08 CHANNEL), PART NO. IC200ALG326H 24VDC,13 BIT CURRENT, 8 CH</t>
  </si>
  <si>
    <t>DI MODULES (32 CHANNEL) - PART NO. IC200MDL650, MAKE- GEIP</t>
  </si>
  <si>
    <t>DO MODULE  (32 CHANNEL), PART NO. IC200MDL750J/ GE, 24VDC, 2 GROUP OF 16, 8CH</t>
  </si>
  <si>
    <t>MODULE BASE, IC200CHS022L/ GE</t>
  </si>
  <si>
    <t>NETWORK INTERFACE UNIT, P NO. GBI001/ GE</t>
  </si>
  <si>
    <t>ETHERNET SWITCH,8 PORT AMANGE, 10 RJ 45, 10/100/1000 MBPS , 240VAC</t>
  </si>
  <si>
    <t>ETHERNET SWITCH ,16 PORT AMANGE, 10 RJ 45 , 10/100/1000 MBPS, 240VAC</t>
  </si>
  <si>
    <t>GENIUS COMMUNICATION CABLE, 150 OHM</t>
  </si>
  <si>
    <t>PR Number</t>
  </si>
  <si>
    <t>FILTER CORE-DRG.NO-HQ25.600.14Z FOR OUTLET OF EH MAIN PUMP FOR DEH/EH SYSTEM</t>
  </si>
  <si>
    <t>SPARE FOR DEH/EH SYSTEM - FILTER CORE FORINLET OF EH MAIN PUMP EH, DRG. NO. HQ25.600.11Z</t>
  </si>
  <si>
    <t>SPARE FOR DEH/EH SYSTEM - FILTER CORE FOR INLET OF REGENERATIVE &amp; RECYCLE PUMP, DRG. NO. HQ25.600.12Z</t>
  </si>
  <si>
    <t>SPARE FOR DEH/EH SYSTEM - FILTER CORE FOR OIL DRIVING BACK, DRG. NO. HQ25.600.15Z</t>
  </si>
  <si>
    <t>BREATHERS;HPBC-102 FOR MOISTURE &amp; CONTAMINATION CONTROL DESICCANT MEDIA,FOR EH OIL TANK</t>
  </si>
  <si>
    <t>Total INR</t>
  </si>
  <si>
    <t>COIL OF SOLENOIDE VALVE
MODEL.N0 - 300AA00375A
PART.NO - MCSCH220DG000010
DATE CODE - 1410
VOLTAGE - 220 VDC 
MAKE-Parker</t>
  </si>
  <si>
    <t>Nord Fluid</t>
  </si>
  <si>
    <t>BLADDER
JOP SKID ACCUMULATOR
MODEL. NO. NXQ1-L2.5/31.5-H
MANUFACTURER: HYDAC</t>
  </si>
  <si>
    <t>BLADDER
EH OIL SKID ACCUMULATOR 
MODEL NO: CH01E.330.1Z
APPLICATION: EH OIL SKID
MAKE: HTC</t>
  </si>
  <si>
    <t xml:space="preserve">
1. 
2. 
3. 
4. 
5.
6. 
7. 
8.
9. 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</si>
  <si>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Basis: FOR Plant basis.
Delivery Time: 12 weeks from date of receipt of confirm PO 
G/Warranty: 12 months from date of  DISPATCH - only for manufacturing defects
Payment Terms: 100% along with taxes etc. against PI.
Offer Validity: 31 days from date of offer.
Any statutory changes in rate of tax etc will be applicable as on date of dispatch.
Minimum Order Qty: N/A
Standard packaging will be done for supply of above items.
100% fitment &amp; interchangeability of offered products. In case of any discrepancy, we will replace items promptly for free of cost. </t>
    </r>
  </si>
  <si>
    <t>Rotor lead Collector Assembly</t>
  </si>
  <si>
    <t>01J6735S27</t>
  </si>
  <si>
    <t>04B0543</t>
  </si>
  <si>
    <t>GT08-12674-C</t>
  </si>
  <si>
    <t>1 to 49</t>
  </si>
  <si>
    <t>1 to 27</t>
  </si>
  <si>
    <t>Drawing Number</t>
  </si>
  <si>
    <t>Item Number</t>
  </si>
  <si>
    <t>Collector House</t>
  </si>
  <si>
    <t>Carbon Brush Holder Box</t>
  </si>
  <si>
    <t>Brush</t>
  </si>
  <si>
    <t>01J4240S27</t>
  </si>
  <si>
    <t>Slip Ring</t>
  </si>
  <si>
    <t>Insulation Bushing</t>
  </si>
  <si>
    <t>Blower Assembly</t>
  </si>
  <si>
    <t>1200003691, 1200003692 &amp; 1200003693</t>
  </si>
  <si>
    <t>VALVE CORE SLEEVE, ITEM NO-1, DRG NO. 73A.301.021/DRG. NO. 73B.301.2Z(B)</t>
  </si>
  <si>
    <t>VALVE CORE PIN 10GAX50, ITEM NO-2, DRG NO. 73A.301.022/DRG. NO. 73B.301.2Z(B)</t>
  </si>
  <si>
    <t>VALVE CORE SPRING GUIDE BAR, ITEM NO-3, DRG. NO. 73B.301.001/DRG. NO. 73B.301.2Z(B)</t>
  </si>
  <si>
    <t>HP MAIN STOP AND CONTROL VALVE VALVE STEAM FOR MSV, DRG. NO. 73A.301.024/73B.301Z(B)-1</t>
  </si>
  <si>
    <t>SLEEVE,ITEM NO-5, PART DRG-73A.301.025, MAIN DRG-73B.301.2Z(B),VALVE CORE</t>
  </si>
  <si>
    <t>VALVE CORE POSITIONING SCREW, ITEM NO-6, DRG. NO. 73.301.048/DRG. NO. 73B.301.2Z(B)</t>
  </si>
  <si>
    <t>RING,ITEM NO-7, PART DRG-73A.301.026, MAIN DRG-73B.301.2Z(B),VALVE CORE</t>
  </si>
  <si>
    <t>HP MAIN STOP AND CONTROL VALVE VALVE DISC FOR MSV, DRG. NO. 73B.301.002</t>
  </si>
  <si>
    <t>VALVE CORE EQUILIBRATED VALVE, ITEM NO-9, DRG. NO. 73B.301.003/DRG. NO. 73B.301.2Z(B)</t>
  </si>
  <si>
    <t>TEMPORARY SCREEN, PKG. NO. YD-SKS-08-1 # 5/7, DRG. NO. 73.301.053 FOR TURBINE</t>
  </si>
  <si>
    <t>SLEEVE,ITEM NO-12, PART DRG-73A.301.030, MAIN DRG-73B.301.2Z(B),VALVE CORE</t>
  </si>
  <si>
    <t>PIN,ITEM NO-13, PART DRG-73A.301.031, MAIN DRG-73B.301.2Z(B) ,VALVE CORE</t>
  </si>
  <si>
    <t>SPLIT  PIN,ITEM NO-14, PART DRG-73A.301.033,MAIN DRG-73B.301.2Z(B) ,VALVE CORE</t>
  </si>
  <si>
    <t>VALVE CORE SPRING, ITEM NO.-16, DRG. NO. 73.301.058/DRG. NO. 73B.301.2Z(B)</t>
  </si>
  <si>
    <t>SEAT VALVE CORE,ITEM NO-17, PART DRG7-3A.301.034, MAIN DRG-73B.301.2Z(B)  ,VALVE CORE</t>
  </si>
  <si>
    <t>SEAT VALVE CORE,ITEM NO-18, PART DRG7-3A.301.035, MAIN DRG-73B.301.2Z(B)  ,VALVE CORE</t>
  </si>
  <si>
    <t>VALVE CORE WASHER, THK-1MM, ITEM NO.-19, DRG. NO. 73A.301.036/DRG. NO. 73B.301.2Z(B)</t>
  </si>
  <si>
    <t>VALVE CORE WASHER, THK-0.5MM, ITEM NO.- 20, DRG. NO. 73A.301.037/DRG. NO. 73B.301.2Z(B)</t>
  </si>
  <si>
    <t>VALVE CORE WASHER, THK-0.3MM. ITEM NO.- 21, DRG. NO. 73A.301.038/DRG. NO. 73B.301.2Z(B)</t>
  </si>
  <si>
    <t>VALVE CORE WASHER, THK-0.1MM, ITEM NO.-22, DRG. NO. 73A.301.039/DRG. NO. 73B.301.2Z(B)</t>
  </si>
  <si>
    <t>SPIRAL TUBE PLUG Z 3/8" ,ITEM NO-23, PARTDRG-73.301.065, MAIN DRG-73B.301.2Z(B) ,VALVE CORE</t>
  </si>
  <si>
    <t>SLEEVE,ITEM NO-24, PART DRG-73.301.043, MAIN DRG-73B.301.2Z(B),VALVE CORE</t>
  </si>
  <si>
    <t>VALVE CORE THREAD CAP SCREW M12X30, ITEM NO.- 25, DRG. NO. 73.301.045/DRG. NO. 73B.301.2Z(B)</t>
  </si>
  <si>
    <t>PRE-INLET VALVE, PART DRG NO- K01B.314.006, SL. NO-1, DRG. NO-73B.314Z(B), MOC:2CR12NIMO1W1V</t>
  </si>
  <si>
    <t>VALVE SLEEVE, PART DRG NO- K01B.314.007, SL. NO-2, DRG. NO-73B.314Z(B), MOC:2CR12NIMO1W1V</t>
  </si>
  <si>
    <t>VALVE PIN, PART DRG NO- K01B.314.008, SL. NO-3, DRG. NO-73B.314Z(B), MOC:2CR12NIMO1W1V</t>
  </si>
  <si>
    <t>WASHER -ITEM NO-5, PART DRG-K01B.314.010, MAIN DRG-K01B.314Z(B) ,IPCV</t>
  </si>
  <si>
    <t>PLUG SCREW,ITEM NO-6,MAIN DRAWING NO.K01B.314Z(B),PART DWG NOK01B.314.010,IPCV</t>
  </si>
  <si>
    <t>VALVE ROD, PART DRG NO- K01B.314.011, SL. NO-7, DRG. NO-73B.314Z(B), MOC:2CR12NIMO1W1V</t>
  </si>
  <si>
    <t>VALVE PIN, PART DRG NO- K01B.314.013, SL. NO-9, DRG. NO-73B.314Z(B), MOC:2CR12NIMO1W1V</t>
  </si>
  <si>
    <t>GLAND RING, PART DRG NO- K01B.314.014, SL.NO-10, DRG. NO-73B.314Z(B), MOC:GH2136</t>
  </si>
  <si>
    <t>CONNECTING NUT, PART DRG NO- K01B.314.015, SL. NO-11, DRG. NO-73B.314Z(B), MOC:2CR12NIMO1W1V</t>
  </si>
  <si>
    <t>VALVE PIN, PART DRG NO- K01B.314.017, SL. NO-13, DRG. NO-73B.314Z(B), MOC:2CR12NIMO1W1V</t>
  </si>
  <si>
    <t>INNER HEX SCREW, PART DRG - 73.314.009, SL.NO-14, DRG. NO-73B.314Z(B), MOC: 2CR12NIMO1W1V</t>
  </si>
  <si>
    <t>SPARES FOR TURBINE 22 PROTRUDING WASHER, PKG. NO. YD-SKS-08-1 # 5/7, DRG. NO. 73.039.005</t>
  </si>
  <si>
    <t>SPARES FOR TURBINE 22 CONCAVE, PKG. NO. YD-SKS-08-1 # 5/7, DRG. NO. 73.039.006</t>
  </si>
  <si>
    <t>HP CONTROL VALVE GUIDE SLEEVE, DRG. NO. 73B.311.006/73B.311Z(B)</t>
  </si>
  <si>
    <t>HP CONTROL VALVE PIN 13X1450, DRG. NO. 73B.311.007/73B.311Z(B)</t>
  </si>
  <si>
    <t>HP CONTROL VALVE CONNECTING ROD, DRG. NO. 73B.311.008/73B.311Z(B)</t>
  </si>
  <si>
    <t>HP CONTROL VALVE PIN 12X84, DRG. NO. 73B.311.010/73B.311Z(B)</t>
  </si>
  <si>
    <t>HP CONTROL VALVE PIN, DRG. NO. 73B.311.009/73B.311Z(B)</t>
  </si>
  <si>
    <t>HP CONTROL VALVE 73B.311Z(B) -VALVE STEM, DRG. NO. 73B.311.011</t>
  </si>
  <si>
    <t>VALVE SLEEVE, ITEM NO-I PART DRG-73B.311.1Z, MAIN DRG- 73B.311Z(B) HPCV</t>
  </si>
  <si>
    <t>HP CONTROL VALVE 73B.311Z(B) -SET NUT, DRG. NO. 73B.311.012</t>
  </si>
  <si>
    <t>HP CONTROL VALVE 73B.311Z(B) -VALVE DISC FOR HP CV, DRG. NO. 73B.311.013</t>
  </si>
  <si>
    <t>HP CONTROL VALVE STRAIGHT PIN, DRG. NO. 73B.311.014/73B.311Z(B)</t>
  </si>
  <si>
    <t>HP CONTROL VALVE VALVE PIN, DRG. NO. 73B.311.015/73B.311Z(B)</t>
  </si>
  <si>
    <t>05C2973</t>
  </si>
  <si>
    <t>Shunt Ring</t>
  </si>
  <si>
    <t>08D6646</t>
  </si>
  <si>
    <t>Stop Washer</t>
  </si>
  <si>
    <t>08D6659</t>
  </si>
  <si>
    <t xml:space="preserve">Nut </t>
  </si>
  <si>
    <t>08D6661</t>
  </si>
  <si>
    <t>Gland</t>
  </si>
  <si>
    <t>08D6660</t>
  </si>
  <si>
    <t>08D6648</t>
  </si>
  <si>
    <t>Insulation Block</t>
  </si>
  <si>
    <t>08D6649</t>
  </si>
  <si>
    <t>08D6658</t>
  </si>
  <si>
    <t>08D0118</t>
  </si>
  <si>
    <t>Spring Washer</t>
  </si>
  <si>
    <t>08D6664</t>
  </si>
  <si>
    <t>Washer</t>
  </si>
  <si>
    <t>08D6662</t>
  </si>
  <si>
    <t>Rubber Seal ring</t>
  </si>
  <si>
    <t>08D6663</t>
  </si>
  <si>
    <t>05C2971</t>
  </si>
  <si>
    <t>Connecting Bolt</t>
  </si>
  <si>
    <t>05C7129</t>
  </si>
  <si>
    <t>Bolt M20X30</t>
  </si>
  <si>
    <t>Stop Washer 20X85</t>
  </si>
  <si>
    <t>08D6667</t>
  </si>
  <si>
    <t>Cu Washer</t>
  </si>
  <si>
    <t>Imine Film Tape 1032</t>
  </si>
  <si>
    <t>Alston Comments</t>
  </si>
  <si>
    <t>Need Drawing</t>
  </si>
  <si>
    <t>HP START UP OIL PUMP, 73B.450Z(B)-31,  RATING -15.8KW, HEAD-5.3M MTR, FLOW-548LPM, MFD-CTP, complete pump assembly without motor</t>
  </si>
  <si>
    <t>AC LUBE OIL PUMP, 73B.451Z(B)-31 , RATING  -33KW,HEAD-48M MTR, FLOW-3200LPM ,  complete pump assembly with motor</t>
  </si>
  <si>
    <t>DC LUBE OIL PUMP (COMPLETE ASSEMBLY) SPECIFICATION:-DRG. NO. 73B.452Z(B)-31 , complete pump assembly with motor</t>
  </si>
  <si>
    <t>SEAL RING ASSEMBLY,DRWG-73B.037.2Z-28 FOR HP DIAPHRAGM CARRIER-73B.037Z(B)-28</t>
  </si>
  <si>
    <t>SEAL RING ASSEMBLY,DRWG-73B.037.3Z-28  FOR HP DIAPHRAGM CARRIER-73B.037Z(B)-28</t>
  </si>
  <si>
    <t>SEAL RING ASSEMBLY,DRWG-73B.037.4Z-28  FOR HP DIAPHRAGM CARRIER-73B.037Z(B)-28</t>
  </si>
  <si>
    <t>SEAL RING ASSEMBLY,DRWG-73B.037.5Z-28 FOR HP DIAPHRAGM CARRIER-73B.037Z(B)-28</t>
  </si>
  <si>
    <t>SEAL RING ASSEMBLY,DRWG-73B.037.6Z-28 FOR HP DIAPHRAGM CARRIER-73B.037Z(B)-28</t>
  </si>
  <si>
    <t>SEAL RING ASSEMBLY,DRWG-73B.037.7Z-28 FOR HP DIAPHRAGM CARRIER-73B.037Z(B)-28</t>
  </si>
  <si>
    <t>SEAL RING ASSEMBLY,DRWG-73B.037.8Z-28 FOR HP DIAPHRAGM CARRIER-73B.037Z(B)-28</t>
  </si>
  <si>
    <t>SEAL RING ASSEMBLY,DRWG-73B.037.9Z-28 FOR HP DIAPHRAGM CARRIER-73B.037Z(B)-28</t>
  </si>
  <si>
    <t>SEAL RING ASSEMBLY,DRWG-73B.037.10Z-28 FOR HP DIAPHRAGM CARRIER-73B.037Z(B)-28</t>
  </si>
  <si>
    <t>SEAL RING ASSEMBLY,DRWG-73B.037.11Z-28 FOR HP DIAPHRAGM CARRIER-73B.037Z(B)-28</t>
  </si>
  <si>
    <t>SEAL RING ASSEMBLY,DRWG-73B.037.12Z-28 FOR HP DIAPHRAGM CARRIER-73B.037Z(B)-28</t>
  </si>
  <si>
    <t>SEAL RING ASSEMBLY,DRWG-73B.037.13Z-28 FOR HP DIAPHRAGM CARRIER-73B.037Z(B)-28</t>
  </si>
  <si>
    <t>HP DIAPHRAGM CARRIER DRG. NO. 73B.037.2Z 28- PACKING STRIP, DRG. NO. 73.037.050/73.037Z(B)-28</t>
  </si>
  <si>
    <t>SEAL RING ASSEMBLY,DRWG-73B.041.3Z FOR LP DIAPHRAGM</t>
  </si>
  <si>
    <t>SEAL RING ASSEMBLY,DRWG-73B.041.4Z FOR CARRIER(GENERATOR SIDE)-73E.041Z(B)-3</t>
  </si>
  <si>
    <t>SEAL RING ASSEMBLY,DRWG-73B.027.4Z FOR CARRIER(GENERATOR SIDE)-73E.041Z(B)-3</t>
  </si>
  <si>
    <t>SEAL RING ASSEMBLY,DRWG-73B.027.3Z FOR CARRIER(GENERATOR SIDE)-73E.041Z(B)-3</t>
  </si>
  <si>
    <t>SEAL RING ASSEMBLY,DRWG-73B.041.2Z FOR CARRIER(GENERATOR SIDE)-73E.041Z(B)-3</t>
  </si>
  <si>
    <t>LOCKING SHEET,DRAWING NO-73B.038Z(B)-28,PART DRAWING NO-00.100.017,IP DIAPHARGM CARRIER</t>
  </si>
  <si>
    <t>SEALING RING ASSEMBLY,DRWG-H01.043.12Z  FOR CARRIER(GENERATOR SIDE)-73E.041Z(B)-3</t>
  </si>
  <si>
    <t>SEAL RING ASSEMBLY,DRWG-73B.038.2Z-28 FOR IP NO1 DIAPHRAGM CARRIER-73B.038Z(B)-28</t>
  </si>
  <si>
    <t>SEAL RING ASSEMBLY,DRWG-73B.038.3Z-28 FOR IP NO1 DIAPHRAGM CARRIER-73B.038Z(B)-28</t>
  </si>
  <si>
    <t>SEAL RING ASSEMBLY,DRWG-73B.038.4Z-28 FOR IP NO1 DIAPHRAGM CARRIER-73B.038Z(B)-28</t>
  </si>
  <si>
    <t>SEAL RING ASSEMBLY,DRWG-73B.038.5Z-28 FOR IP NO1 DIAPHRAGM CARRIER-73B.038Z(B)-28</t>
  </si>
  <si>
    <t>SEAL RING ASSEMBLY,DRWG-73B.038.6Z-28  FOR IP NO1 DIAPHRAGM CARRIER-73B.038Z(B)-28</t>
  </si>
  <si>
    <t>SEAL RING ASSEMBLY,DRWG-73B.038.7Z-28 FOR IP NO1 DIAPHRAGM CARRIER-73B.038Z(B)-28</t>
  </si>
  <si>
    <t>SEAL RING ASSEMBLY,DRWG-73B.038.8Z-28 FOR IP NO1 DIAPHRAGM CARRIER-73B.038Z(B)-28</t>
  </si>
  <si>
    <t>SEAL RING ASSEMBL,DRWG-73B.038.9Z-28 FOR IP NO1 DIAPHRAGM CARRIER-73B.038Z(B)-28</t>
  </si>
  <si>
    <t>SEAL RING ASSEMBLY-73B.038.10Z-28  FOR IP NO1 DIAPHRAGM CARRIER-73B.038Z(B)-28</t>
  </si>
  <si>
    <t>SEAL RING ASSEMBLY,DRWG-73B.038.11Z-28  FOR IP NO1 DIAPHRAGM CARRIER-73B.038Z(B)-28</t>
  </si>
  <si>
    <t>PACKING STRIP,PART DRAWING NO-73.038.073 , DRAWING NO-73B.038Z(B)-28 IP DIAPHARGM CARRIER</t>
  </si>
  <si>
    <t>SEAL RING ASSEMBLY,DRWG-73B.039.2Z-28  FOR IP NO2 DIAPHRAGM CARRIER- 73B.039Z(B) -28</t>
  </si>
  <si>
    <t>SEAL RING ASSEMBLY,DRWG-73B.039.3Z-28  FOR IP NO2 DIAPHRAGM CARRIER-  73B.039Z(B) -28</t>
  </si>
  <si>
    <t>SEAL RING ASSEMBLY,DRWG-73B.039.4Z-28 FOR IP NO2 DIAPHRAGM CARRIER-  73B.039Z(B) -28</t>
  </si>
  <si>
    <t>SEAL RING ASSEMBLY,DRWG-73B.039.5Z-28 FOR IP NO2 DIAPHRAGM CARRIER-  73B.039Z(B) -28</t>
  </si>
  <si>
    <t>SEAL RING ASSEMBLY,DRWG-73B.039.6Z-28 FOR IP NO2 DIAPHRAGM CARRIER-  73B.039Z(B) -28</t>
  </si>
  <si>
    <t>SEAL RING ASSEMBLY,DRWG-73B.039.7Z-28 FOR IP NO2 DIAPHRAGM CARRIER-  73B.039Z(B) -28</t>
  </si>
  <si>
    <t>LOCKING SHEET,PART DRAWING NO-00.100.017 , DRAWING NO-73B.038Z(B)-28 , IP DIAPHARGM CARRIER</t>
  </si>
  <si>
    <t>SEAL RING ASSEMBLY,DRWG-73B.039.9Z-28 FOR IP NO2 DIAPHRAGM CARRIER-  73B.039Z(B) -28</t>
  </si>
  <si>
    <t>PACKING STRIP,DRWG-73.039.076 , FOR IP NO2 DIAPHRAGM CARRIER-  73B.039Z(B) -28</t>
  </si>
  <si>
    <t>SEAL RING ASS'Y ,PRT DRW-73B.039.8Z-28 , DRAWING NO-73B.038Z(B)-28 IP DIAPHARGM CARRIER</t>
  </si>
  <si>
    <t>SPARES FOR HP/IP OUTER CASINGREAMER STUD BOLT 76X1372, DRG. NO. 73.019.012</t>
  </si>
  <si>
    <t>SPARES FOR HP/IP OUTER CASINGREAMER STUD  BOLT 114X1562, DRG. NO. 73.019.013</t>
  </si>
  <si>
    <t>SPARES FOR HP/IP OUTER CASINGREAMER STUD BOLT 95X572, DRG. NO. 73.019.014</t>
  </si>
  <si>
    <t>SPARES FOR HP/IP OUTER CASINGREAMER STUD BOLT 95X1156, DRG. NO. 73.019.015</t>
  </si>
  <si>
    <t>SPARES FOR HP/IP OUTER CASINGREAMER STUD BOLT 76X1320, DRG. NO. 73.019.051</t>
  </si>
  <si>
    <t>SEAL RING ASS'Y ,PRT DRW-CH01.041.3Z , DRAWING NO-73E.041Z(B)-3 LP (GOV END) DIAPHARGM CARRIER</t>
  </si>
  <si>
    <t>EXT BOX NUT M72*3*137 , DRAWING NO-73B.012Z(B)-31,PART DRAWING NO-73.019.016,HP/IP OUTER CASING</t>
  </si>
  <si>
    <t>EXT BOX NUT M72*3*137,DRAWING NO-73B.012Z(B)-31,PART DRAWING NO-73.019.016,HP/IP OUTER CASING</t>
  </si>
  <si>
    <t>SPARES FOR TURBINE 110 WASHER, PKG. NO.  YD-SKS-08-1 # 5/7, DRG. NO. 73.019.028</t>
  </si>
  <si>
    <t>EXT BOX NUT M110*3*191,DRAWING NO-73B.012Z(B)-31,PART DRAWING NO-73.019.018,HP/IP OUTER CASING</t>
  </si>
  <si>
    <t>EXT BOX NUT M100*4*172,DRAWING NO-73B.013Z(B),PART DRAWING NO-73.019.035,HP INNER CASING</t>
  </si>
  <si>
    <t>SPARES FOR TURBINE 100 CONCAVE WASHER, PKG. NO. YD-SKS-08-1 # 5/7, DRG. NO. 73.019.037</t>
  </si>
  <si>
    <r>
      <t>SPHERICAL WASHER</t>
    </r>
    <r>
      <rPr>
        <sz val="11"/>
        <color rgb="FF000000"/>
        <rFont val="MS Gothic"/>
        <family val="3"/>
      </rPr>
      <t>（</t>
    </r>
    <r>
      <rPr>
        <sz val="11"/>
        <color rgb="FF000000"/>
        <rFont val="Calibri"/>
        <family val="2"/>
        <scheme val="minor"/>
      </rPr>
      <t>FEMALE</t>
    </r>
    <r>
      <rPr>
        <sz val="11"/>
        <color rgb="FF000000"/>
        <rFont val="MS Gothic"/>
        <family val="3"/>
      </rPr>
      <t>）</t>
    </r>
    <r>
      <rPr>
        <sz val="11"/>
        <color rgb="FF000000"/>
        <rFont val="Calibri"/>
        <family val="2"/>
        <scheme val="minor"/>
      </rPr>
      <t>85*26 , DRAWING NO-73B.013Z(B),PART DRAWING NO-73.019.036,HP INNER CASING</t>
    </r>
  </si>
  <si>
    <t>SPARES FOR TURBINE 100 PROTRUDING WASHER , PKG. NO. YD-SKS-08-1 # 5/7, DRG. NO. 73.019.039</t>
  </si>
  <si>
    <r>
      <t>SPHERICAL WASHER</t>
    </r>
    <r>
      <rPr>
        <sz val="11"/>
        <color rgb="FF000000"/>
        <rFont val="MS Gothic"/>
        <family val="3"/>
      </rPr>
      <t>（</t>
    </r>
    <r>
      <rPr>
        <sz val="11"/>
        <color rgb="FF000000"/>
        <rFont val="Calibri"/>
        <family val="2"/>
        <scheme val="minor"/>
      </rPr>
      <t>MALE</t>
    </r>
    <r>
      <rPr>
        <sz val="11"/>
        <color rgb="FF000000"/>
        <rFont val="MS Gothic"/>
        <family val="3"/>
      </rPr>
      <t>）</t>
    </r>
    <r>
      <rPr>
        <sz val="11"/>
        <color rgb="FF000000"/>
        <rFont val="Calibri"/>
        <family val="2"/>
        <scheme val="minor"/>
      </rPr>
      <t>85*23,  DRAWING NO-73B.013Z(B),PART DRAWING NO-73.019.038,HP INNER CASING</t>
    </r>
  </si>
  <si>
    <t>EXT. BOX NUT M45*3*105 ,DRAWING NO-73B.017Z(B),PART DRAWING NO-73.019.043,IP INNER CASING</t>
  </si>
  <si>
    <t>PROTRUDING WASHER 45, PKG. NO. YD-SKS-08-1 # 5/7, DRG. NO. 73.019.047 FOR TURBINE</t>
  </si>
  <si>
    <r>
      <t>SPHERICAL WASHER</t>
    </r>
    <r>
      <rPr>
        <sz val="11"/>
        <color rgb="FF000000"/>
        <rFont val="MS Gothic"/>
        <family val="3"/>
      </rPr>
      <t>（</t>
    </r>
    <r>
      <rPr>
        <sz val="11"/>
        <color rgb="FF000000"/>
        <rFont val="Calibri"/>
        <family val="2"/>
        <scheme val="minor"/>
      </rPr>
      <t>FEMALE</t>
    </r>
    <r>
      <rPr>
        <sz val="11"/>
        <color rgb="FF000000"/>
        <rFont val="MS Gothic"/>
        <family val="3"/>
      </rPr>
      <t>）</t>
    </r>
    <r>
      <rPr>
        <sz val="11"/>
        <color rgb="FF000000"/>
        <rFont val="Calibri"/>
        <family val="2"/>
        <scheme val="minor"/>
      </rPr>
      <t>60*15 ,DRAWING NO-73B.013Z(B),PART DRAWING NO-73B.017ZB,73.019.048,HP INNER CASING</t>
    </r>
  </si>
  <si>
    <t>HEXAGON SOCKET HEAD NUT M60*3*108 ,DRAWING NO-73B.017Z(B),PART DRAWING NO-73.019.044,IP INNER CASING</t>
  </si>
  <si>
    <r>
      <t>SPHERICAL WASHER</t>
    </r>
    <r>
      <rPr>
        <sz val="11"/>
        <color rgb="FF000000"/>
        <rFont val="MS Gothic"/>
        <family val="3"/>
      </rPr>
      <t>（</t>
    </r>
    <r>
      <rPr>
        <sz val="11"/>
        <color rgb="FF000000"/>
        <rFont val="Calibri"/>
        <family val="2"/>
        <scheme val="minor"/>
      </rPr>
      <t>FEMALE</t>
    </r>
    <r>
      <rPr>
        <sz val="11"/>
        <color rgb="FF000000"/>
        <rFont val="MS Gothic"/>
        <family val="3"/>
      </rPr>
      <t>）</t>
    </r>
    <r>
      <rPr>
        <sz val="11"/>
        <color rgb="FF000000"/>
        <rFont val="Calibri"/>
        <family val="2"/>
        <scheme val="minor"/>
      </rPr>
      <t xml:space="preserve"> 45*13 ,DRAWING NO-73B.017Z(B),PART DRAWING NO-73.019.049,IP INNER CASING</t>
    </r>
  </si>
  <si>
    <r>
      <t>SPHERICAL WASHER</t>
    </r>
    <r>
      <rPr>
        <sz val="11"/>
        <color rgb="FF000000"/>
        <rFont val="MS Gothic"/>
        <family val="3"/>
      </rPr>
      <t>（</t>
    </r>
    <r>
      <rPr>
        <sz val="11"/>
        <color rgb="FF000000"/>
        <rFont val="Calibri"/>
        <family val="2"/>
        <scheme val="minor"/>
      </rPr>
      <t>FEMALE</t>
    </r>
    <r>
      <rPr>
        <sz val="11"/>
        <color rgb="FF000000"/>
        <rFont val="MS Gothic"/>
        <family val="3"/>
      </rPr>
      <t>）</t>
    </r>
    <r>
      <rPr>
        <sz val="11"/>
        <color rgb="FF000000"/>
        <rFont val="Calibri"/>
        <family val="2"/>
        <scheme val="minor"/>
      </rPr>
      <t xml:space="preserve"> 60*16  ,DRAWING NO-73B.017Z(B),PART DRAWING NO-73.019.050,IP INNER CASING</t>
    </r>
  </si>
  <si>
    <t>PROTRUDING WASHER 48, PKG. NO. YD-SKS-08-1 # 5/7, DRG. NO. 73.019.054 FOR TURBINE</t>
  </si>
  <si>
    <t>CONCAVE WASHER 48,PKG. NO. YD-SKS-08-1 # 5/7, DRG. NO. 73.019.055 FOR TURBINE</t>
  </si>
  <si>
    <t>BOLT FOR LP OUTER CASING SPLITREAMERSTUD BOLT,DRG NO. 73.026.002,SPLIT-73.026Z(B))</t>
  </si>
  <si>
    <t>Hex Bolt,item No-10,PART DRG-73.026.003, MAIN DRG-73.026.Z(B) LP OUTER CASING</t>
  </si>
  <si>
    <t>EXT. BOX NUT M48*3*105 ,DRAWING NO-73B.017Z(B),PART DRAWING NO-73.019.053,IP INNER CASING</t>
  </si>
  <si>
    <t>BOLT FOR LP OUTER CASING SPLIT REAMERSTUD BOLT, DRG NO. 73.026.011,SPLIT-73.026Z(B)</t>
  </si>
  <si>
    <t>SCREW-M8X30 ITEM-5,GB70-76.006 , MAIN DRG-73.035Z(B), RUPTURE DIAPHRAGM</t>
  </si>
  <si>
    <t>HEXAGONAL BOLT-M33X95,ITEM-5,GB5782-86 , MAIN DRG-73.026.ZB, LP OUTER CASING SPLIT</t>
  </si>
  <si>
    <t>Hex Nut M27, ITEM NO-12,PART DRG-GB6170-86, MAIN DRG-73.026.Z(B) LP OUTER CASING</t>
  </si>
  <si>
    <t>HEXAGONAL BOLT- M 39X3X210,45-I,ITEM-21 , PART DRG-GB5782-86, MAIN DRG-73.026.ZB, LP OUTER CASING</t>
  </si>
  <si>
    <t>Hexagonal Bolt M 39x3ITEM NO-22, PART DRG-GB5782-86, MAIN DRG-73.026.Z(B) LP OUTER CASING</t>
  </si>
  <si>
    <t>HEX. NUT,DRAWING NO-73.026Z(B),PART DRAWING NO-73.026.006,BOLTS OF LP OUTER CASING SPLIT</t>
  </si>
  <si>
    <t>STUD BOLT M45×3×310,DRW-73B.071Z(B),PART DRAWING NO-73A.071.021,BALANCE RING AT HP STEAM INLET SIDE</t>
  </si>
  <si>
    <t>STUD BOLT M52×3×262,DRAW-73B.071Z(B),PART DRAWING NO-73A.071.022,BALANCE RING AT HP STEAM INLET SIDE</t>
  </si>
  <si>
    <t>STUD BOLT M45×3×495,DRAW-73B.071Z(B),PART DRAWING NO-73A.071.024,BALANCE RING AT HP STEAM INLET SIDE</t>
  </si>
  <si>
    <t>HEX SOCKET HEAD NUT  M52×3×99 DRW-73B.071Z(B),PRT DRW-73A.073.017,BALANCE RING AT HP STEAM INLET SID</t>
  </si>
  <si>
    <t>HEXAGON SOCKET HEAD NUT  M45×3×89 , DRW-73B.071Z(B),PART DRW-73A.073.018,BALANCE RING HP STEAM INLET SIDE</t>
  </si>
  <si>
    <t>HEXAGON SOCKET HEAD NUT  M72×3×125 ,DRW-73B.071Z(B),PRT DRW-73A.071.026,BALANCE RING HP STEAM INLET SIDE</t>
  </si>
  <si>
    <t>STUD BOLT M39×3×190 , DRAWING-73B.072Z(B),PART DRAWING NO-73.072.003,BALANCE RING AT HP EXHAUST SIDE</t>
  </si>
  <si>
    <t>PLAIN WASHER(NITROGEN TREATMENT) M39 ,DRAWING NO-73B.072Z(B),PART DRAWING NO-73.072.004</t>
  </si>
  <si>
    <t>HEXAGON SOCKET HEAD NUT  M39×3×77 ,DRAWING NO-73B.072Z(B),PART DRAWING NO-73A.072.003</t>
  </si>
  <si>
    <t>STUD BOLT M36×3×215 ,DRAWING NO-73B.072Z(B),PART DRAWING NO-73.072.006,BALANCE RING  HP EXHAUST SIDE</t>
  </si>
  <si>
    <t>REAMER STUD BOLT M33×170 ,DRAWING NO-73B.072Z(B),PART DRAWING NO-73.072.008</t>
  </si>
  <si>
    <t>HEXAGON SOCKET HEAD NUT  M33×67 ,DRAWING NO-73B.072Z(B),PART DRAWING NO-73A.072.005</t>
  </si>
  <si>
    <t>SEAL RING ASS'Y ,  DRAWING NO-3B.073Z(B),PART DRAWING NO-73B.073.1Z,BALANCE RING AT IP STEAM INLET SIDE</t>
  </si>
  <si>
    <t>SPARES FOR TURBINE SPRING, PKG. NO. YD-SKS-08-1 # 5/7, DRG. NO. 73A.073.001</t>
  </si>
  <si>
    <t>SPARES FOR TURBINE SPRING, PKG. NO.YD-SKS-08-1 # 5/7, DRG. NO. 73A.073.004</t>
  </si>
  <si>
    <t>STUD BOLT M52×3×495,DRAWING-73B.073Z(B),PART DRAW-73A.073.012,BALANCE RING AT IP STEAM INLET SIDE</t>
  </si>
  <si>
    <t>REAMER STUD BOLT Φ50×390 ,DRAWING NO-73B.073Z(B),PART DRAWING NO-73A.073.013</t>
  </si>
  <si>
    <t>STUD BOLT M45×3×350,DRAWING NO-73B.073Z(B),PART DRAWING NO-73A.073.014</t>
  </si>
  <si>
    <t>STUD BOLT M36×3×255,DRAWING NO-73B.073Z(B),PART DRAWING NO-73A.073.015</t>
  </si>
  <si>
    <t>REAMER STUD BOLT Φ30×160 ,DRAWING NO-73B.073Z(B),PART DRAWING NO-73A.073.016</t>
  </si>
  <si>
    <t>HEXAGON SOCKET HEAD NUT  M52×3×99 ,DRAWING NO-73B.073Z(B),PART DRAWING NO-73A.073.017</t>
  </si>
  <si>
    <t>HEX SOCKET HEAD NUT  M45×3×89 ,DRAWING NO-73B.073Z(B),PART DRAWING NO-73A.073.018</t>
  </si>
  <si>
    <t>HEXAGON SOCKET HEAD NUT  M36×3×74 ,DRAWING NO-73B.073Z(B),PART DRAWING NO-73A.073.023</t>
  </si>
  <si>
    <t>HEXAGON SOCKET HEAD NUT M27×58 ,DRAWING NO-73B.073Z(B),PART DRAWING NO-73A.073.019</t>
  </si>
  <si>
    <t>HP MAIN STEAM GUIDE TUBE (LEAD PIPE) -STUD M64 X 3 X 565, DRG. NO. 73B.081.014</t>
  </si>
  <si>
    <t>HP MAIN STEAM GUIDE TUBE (LEAD PIPE) -COVERNUT M64 X 3, DRG. NO. 73B.081.015</t>
  </si>
  <si>
    <t>HEXAGONAL BOLT-M36,ITEM NO-08, PART DRG-73B.091.001, MAIN DRG-G07.091ZB-78  CROSS OVER PIPE</t>
  </si>
  <si>
    <t>STUD BOLT M39×3×210,DRAWING NO-G07.091Z(B)-78,PART DRAWING NO-73.091.048,CROSSOVER PIPE</t>
  </si>
  <si>
    <t>HEX. HEAD BOLT M33×115,,DRAWING NO-G07.091Z(B)-78,PART DRAWING NO-73.091.049,CROSSOVER PIPE</t>
  </si>
  <si>
    <t>GENERAL DRAWING OF HP/IP ROTOR 73B.271Z (B)-28 - ASSEMBLY DRG FOR IP FORWARD BLADES, DRG. NO. 73B.203Z- SPECIAL WASHER, DRG. NO. 73.276.010</t>
  </si>
  <si>
    <t>GENERAL DRAWING OF HP/IP ROTOR 73B.271Z (B)-28 - ASSEMBLY DRG FOR IP FORWARD BLADES, DRG. NO. 73B.203Z- SPECIAL NUT, DRG. NO. 73.276.008</t>
  </si>
  <si>
    <t>GENERAL DRAWING OF LP ROTOR NUT M52X3, DRG. NO. 73.276.005/ 73B.273Z(B)-28</t>
  </si>
  <si>
    <t>SPECIAL NUT-35CRMOA-II/590-B/HJ416-2004 TEM NO-05, PART DRG-73.276.008, MAIN DRG-73B.273ZB-28</t>
  </si>
  <si>
    <t>GENERAL DRAWING OF LP ROTOR HEXAGONAL BOLT, DRG. NO. 73.276.009/73B.273Z(B)-28</t>
  </si>
  <si>
    <t>GENERAL DRAWING OF LP ROTOR DYNAMIC BALABALANCE SCREW PLUG M45, DRG. NO. B20.261-95/73B.273Z(B)-28</t>
  </si>
  <si>
    <t>TURBINE OIL SYSTEM  FLOAT SEALING RING (DEXTROROTATORY) DRG. NO. 73.051.12Z/THRUST BEARING 73C.051Z(B)</t>
  </si>
  <si>
    <t>TURBINE OIL SYSTEM  FLOAT SEALING RING (LEVOROTATORY) DRG. NO. 73.051.15Z/THRUST BEARING 73C.051Z(B)</t>
  </si>
  <si>
    <t>TURBINE OIL SYSTEM  SKELETON RUBBER OIL SEAL, DRG. NO. 73.178.364/TURBINE GEAR 73.178Z(B)-1</t>
  </si>
  <si>
    <t>TURBINE OIL SYSTEM OIL SEALING RING DEXTROROTATORY, DRG. NO. 73B.401.2Z (SET)/ MAIN OIL PUMP 73B.401Z(B)</t>
  </si>
  <si>
    <t>TURBINE OIL SYSTEM OIL SEALING RINGEXTROROTATORY, DRG. NO. 73B.401.3Z (SET)/MAIN OIL PUMP 73B.401Z(B)</t>
  </si>
  <si>
    <t>TURBINE OIL SYSTEM OIL SEALING RING LEVOROTATORY, DRG. NO. 73B.401.5Z (SET)/ MAIN OIL PUMP 73B.401Z(B)</t>
  </si>
  <si>
    <t>TURBINE OIL SYSTEM OIL SEALING RING LEVOROTATORY, DRG. NO. 73B.401.6Z (SET),MAIN OIL PUMP 73B.401Z(B)</t>
  </si>
  <si>
    <t>CENTRIFUGAL STOP BOLT,-73B.376Z(B),-73.376.1Z,EMERGENCY GOVERNOR</t>
  </si>
  <si>
    <t>FLUORIN RUBBER O TYPE SEAL RING  FOR EH SYSTEM EHDEH SYSTEM SEAL KIT</t>
  </si>
  <si>
    <t>GASKET FOR SEAL BODY OF GENERATOR</t>
  </si>
  <si>
    <t xml:space="preserve">GENERATOR END SEALING STRIPS- POLYMER OUTER OIL DEFLECTOR FOR GENERATOR DRAWING NO: 01J3246S27  </t>
  </si>
  <si>
    <t>GENERATOR END SEALING STRIPS- COPPER, OUTER OIL DEFLECTOR  FOR GENERATOR ,DRAWING NO: 01J3246S27</t>
  </si>
  <si>
    <t>Drawing</t>
  </si>
  <si>
    <t>Advised by Rahul Bhaiya</t>
  </si>
  <si>
    <t>KEY,ITEM NO.6,PART DRW NO-73D.306.007   MAIN DWG NO 73D.306.2Z(B) RE HEATER STOP VALVE</t>
  </si>
  <si>
    <t>KEY,ITEM NO.7,PART DRW NO-73D.306.008     MAIN DWG NO 73D.306.2Z(B) RE HEATER STOP VALVE</t>
  </si>
  <si>
    <t>KEY,STEEL PLATE,PART DRW-73D.306.009                 MAIN DWG NO 73D.306.2Z(B) RE HEATER STOP VALVE</t>
  </si>
  <si>
    <t>SPARES FOR TURBINE M 33 X 286, PKG. NO.  YD-SKS-08-1 # 5/7, DRG. NO. 73D.306.010</t>
  </si>
  <si>
    <t>SPARES FOR TURBINE M 33, PKG. NO. YD-SKS -08-1 # 5/7, DRG. NO. 73D.306.011</t>
  </si>
  <si>
    <t>CONVEX WASHER,ITEM NO-11 DRW-00.039.003 PART DRAWING NO 00.039.003 MAIN DWG NO 73D.306.2Z(B) RE HEATER STOP VALVE</t>
  </si>
  <si>
    <t>CONCAVE WASHER,ITEM-12 PART DRAWING NO 00.039.004 MAIN DWG NO 73D.306.2Z(B) RE HEATER STOP VALVE</t>
  </si>
  <si>
    <t>COMBINED REHEAT MAIN STEAM CONTROL VALVE  SLEEVE, DRG. NO. 73D.306.012,(RIGHT)-73D.306.2Z(B)</t>
  </si>
  <si>
    <t>ARM,ITEM-17,PART DRAWING NO 73D.306.016   MAIN DWG NO 73D.306.2Z(B) RE HEATER STOP VALVE</t>
  </si>
  <si>
    <t>COMBINED REHEAT MAIN STEAM CONTROL VALVE DISC, DRG. NO. 73D.306.017,(RIGHT)-73D.306.2Z(B)</t>
  </si>
  <si>
    <t>NUT60X3,ITEM-19 PART DRAWING-73D.306.018  MAIN DWG NO 73D.306.2Z(B) RE HEATER STOP VALVE</t>
  </si>
  <si>
    <t>PIN,ITEM-20,PART DRAWING NO 73D.306.019  MAIN DWG NO 73D.306.2Z(B) RE HEATER STOP VALVE</t>
  </si>
  <si>
    <t>END ROD,ITEM-22,PART DRAWING-73D.306.021             MAIN DWG NO 73D.306.2Z(B) RE HEATER STOP VALVE</t>
  </si>
  <si>
    <t>CONNECTING ROD,ITEM-24,PART DRW-73D.306.023 MAIN DWG NO 73D.306.2Z(B) RE HEATER STOP VALVE</t>
  </si>
  <si>
    <t>SPLIT PIN10X80,ITEM-25,PART DRW-GB91-76   MAIN DWG NO 73D.306.2Z(B) RE HEATER STOP VALVE</t>
  </si>
  <si>
    <t>PIN,ITEM-26,PART DRAWING NO-73D.306.024  MAIN DWG NO 73D.306.2Z(B) RE HEATER STOP VALVE</t>
  </si>
  <si>
    <t>COMBINED REHEAT MAIN STEAM CONTROL VALVE SHAFT, DRG. NO. 73D.306.025,(RIGHT)-73D.306.2Z(B)</t>
  </si>
  <si>
    <t>COMBINED REHEAT MAIN STEAM CONTROL VALVE    SLEEVE, DRG. NO. 73D.306.026,(RIGHT)-73D.306.2Z(B)</t>
  </si>
  <si>
    <t>KEY,ITEM- 29,PART DRAWING NO-73D.306.26   MAIN DWG NO 73D.306.2Z(B) RE HEATER STOP VALVE</t>
  </si>
  <si>
    <t>ROTATE ROD,ITEM-30,PART DRW-73D.306.27   MAIN DWG NO 73D.306.2Z(B) RE HEATER STOP VALVE</t>
  </si>
  <si>
    <t>SLEEVE,ITEM-31,PART DRW-73D.306.28 MAIN DWG NO 73D.306.2Z(B) RE HEATER STOP VALVE</t>
  </si>
  <si>
    <t>KEY,ITEM- 29,PART DRAWING NO-73D.306.26  MAIN DWG NO 73D.306.2Z(B) RE HEATER STOP VALVE</t>
  </si>
  <si>
    <t>ROTATE ROD,ITEM-30,PART DRW-73D.306.27  MAIN DWG NO 73D.306.2Z(B) RE HEATER STOP VALVE</t>
  </si>
  <si>
    <t>SLEEVE,ITEM-31,PART DRW-73D.306.28    MAIN DWG NO 73D.306.2Z(B) RE HEATER STOP VALVE</t>
  </si>
  <si>
    <t>KEY,ITEM- 29,PART DRAWING NO-73D.306.26                   MAIN DWG NO 73D.306.2Z(B) RE HEATER STOP VALVE</t>
  </si>
  <si>
    <t>ROTATE ROD,ITEM-30,PART DRW-73D.306.27                   MAIN DWG NO 73D.306.2Z(B) RE HEATER STOP VALVE</t>
  </si>
  <si>
    <t>FLAT SCREW,ITEM-15,PART DRW -73A.301.032   MAIN DRW-73B.301.2Z(B), HP STOP VALVE (CORE VALVE)</t>
  </si>
  <si>
    <t>Helen</t>
  </si>
  <si>
    <t xml:space="preserve">73B.451Z(B)-31 with motor , $11200@70days    1350KG
73B.451Z(B)-31  without  motor , $10060@70days  , 820KG </t>
  </si>
  <si>
    <t xml:space="preserve">73B.452Z(B)-31 with motor ,,$13650@70days    1150KG 
73B.452Z(B)-31 no motor , $10500@70days  , 850KG </t>
  </si>
  <si>
    <t>Part Name</t>
  </si>
  <si>
    <t>PR Qty.</t>
  </si>
  <si>
    <t>70001267        </t>
  </si>
  <si>
    <t> GASKET FOR SEAL BODY OF GENERATOR</t>
  </si>
  <si>
    <t>70000281        </t>
  </si>
  <si>
    <t>GASKET-METALLIC -3MM THICK, STYLE-54  </t>
  </si>
  <si>
    <t>KG</t>
  </si>
  <si>
    <t>70000448        </t>
  </si>
  <si>
    <t>GASKET-NON METALLIC  SIZE:-1MM THICK</t>
  </si>
  <si>
    <t>70000805  </t>
  </si>
  <si>
    <t>GASKETS- 2 MM, NON - METALLIC, STYLE 2</t>
  </si>
  <si>
    <t>Subtotal</t>
  </si>
  <si>
    <t>GST Rate 18% applicable as extra</t>
  </si>
  <si>
    <t>Grand Total on FOR Site Basis-INR</t>
  </si>
  <si>
    <t xml:space="preserve">
1. 
2. 
3. 
4. 
5.
6. 
7. 
8.
9. </t>
  </si>
  <si>
    <r>
      <rPr>
        <b/>
        <u/>
        <sz val="10"/>
        <rFont val="Calibri"/>
        <family val="2"/>
        <scheme val="minor"/>
      </rPr>
      <t>Terms &amp; Conditions</t>
    </r>
    <r>
      <rPr>
        <sz val="10"/>
        <rFont val="Calibri"/>
        <family val="2"/>
        <scheme val="minor"/>
      </rPr>
      <t xml:space="preserve">
Offer Basis FOR Site Basis.
Delivery Time: 14-16 weeks from date of receipt of confirm PO
G/Warranty: 12 months from date of DISPATCH - only for manufacturing defects
Payment Terms: 100% along with taxes etc. against PI.
Offer Validity: 31 days from date of offer.
Any statutory changes in rate of tax etc. will be applicable as on date of dispatch.
Minimum Order Qty: As offered
Standard packaging will be done for supply of above items.
Our offer confirm for 100% fitment &amp; interchangeability of offered products. In case of any discrepancy, we will replace items promptly for free of cost. </t>
    </r>
  </si>
  <si>
    <t>Considred</t>
  </si>
  <si>
    <t xml:space="preserve">Kalpana </t>
  </si>
  <si>
    <t>Drg Needed</t>
  </si>
  <si>
    <t xml:space="preserve">Remarks </t>
  </si>
  <si>
    <t>Style 20</t>
  </si>
  <si>
    <t>₹858.00 per kg (less 43% discount)</t>
  </si>
  <si>
    <t>₹350.00 per kg (less 43% discount)</t>
  </si>
  <si>
    <t>₹317.00 per kg (less 43%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</si>
</sst>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 [$₹-4009]\ * #,##0_ ;_ [$₹-4009]\ * \-#,##0_ ;_ [$₹-4009]\ * &quot;-&quot;??_ ;_ @_ "/>
    <numFmt numFmtId="167" formatCode="_ [$€-2]\ * #,##0.00_ ;_ [$€-2]\ * \-#,##0.00_ ;_ [$€-2]\ * &quot;-&quot;??_ ;_ @_ "/>
    <numFmt numFmtId="168" formatCode="_-[$$-409]* #,##0.00_ ;_-[$$-409]* \-#,##0.00\ ;_-[$$-409]* &quot;-&quot;??_ ;_-@_ "/>
    <numFmt numFmtId="169" formatCode="_ [$₹-4009]\ * #,##0.00_ ;_ [$₹-4009]\ * \-#,##0.00_ ;_ [$₹-4009]\ * &quot;-&quot;??_ ;_ @_ "/>
    <numFmt numFmtId="170" formatCode="[$-409]d/mmm/yy;@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mbria"/>
      <family val="1"/>
      <scheme val="maj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b/>
      <u val="singleAccounting"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SimSun"/>
    </font>
    <font>
      <sz val="10"/>
      <color rgb="FF00000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b/>
      <sz val="10"/>
      <name val="Tahoma"/>
      <family val="2"/>
    </font>
    <font>
      <b/>
      <sz val="10"/>
      <color theme="1"/>
      <name val="Tahoma"/>
      <family val="2"/>
    </font>
    <font>
      <b/>
      <u/>
      <sz val="10"/>
      <name val="Tahoma"/>
      <family val="2"/>
    </font>
    <font>
      <b/>
      <u/>
      <sz val="10"/>
      <color rgb="FF000000"/>
      <name val="Tahoma"/>
      <family val="2"/>
    </font>
    <font>
      <sz val="12"/>
      <color rgb="FF244061"/>
      <name val="Times New Roman"/>
      <family val="1"/>
    </font>
    <font>
      <sz val="12"/>
      <color rgb="FF1F497D"/>
      <name val="Times New Roman"/>
      <family val="1"/>
    </font>
    <font>
      <b/>
      <sz val="10"/>
      <color rgb="FF000000"/>
      <name val="Calibri Light"/>
      <family val="2"/>
    </font>
    <font>
      <b/>
      <sz val="10"/>
      <name val="Calibri Light"/>
      <family val="2"/>
    </font>
    <font>
      <b/>
      <sz val="10"/>
      <color theme="1"/>
      <name val="Calibri Light"/>
      <family val="2"/>
    </font>
    <font>
      <sz val="10"/>
      <color rgb="FF000000"/>
      <name val="Calibri Light"/>
      <family val="2"/>
    </font>
    <font>
      <sz val="10"/>
      <name val="Calibri Light"/>
      <family val="2"/>
    </font>
    <font>
      <sz val="10"/>
      <color theme="1"/>
      <name val="Calibri Light"/>
      <family val="2"/>
    </font>
    <font>
      <b/>
      <u/>
      <sz val="10"/>
      <name val="Calibri Light"/>
      <family val="2"/>
    </font>
    <font>
      <b/>
      <u/>
      <sz val="10"/>
      <color rgb="FF000000"/>
      <name val="Calibri"/>
      <family val="2"/>
      <scheme val="minor"/>
    </font>
    <font>
      <sz val="12"/>
      <color rgb="FF244061"/>
      <name val="Calibri"/>
      <family val="2"/>
      <scheme val="minor"/>
    </font>
    <font>
      <sz val="12"/>
      <color rgb="FF1F497D"/>
      <name val="Calibri"/>
      <family val="2"/>
      <scheme val="minor"/>
    </font>
    <font>
      <b/>
      <u/>
      <sz val="10"/>
      <color rgb="FF000000"/>
      <name val="Calibri Light"/>
      <family val="2"/>
    </font>
    <font>
      <sz val="11"/>
      <color rgb="FF000000"/>
      <name val="Calibri"/>
      <family val="2"/>
      <scheme val="minor"/>
    </font>
    <font>
      <sz val="11"/>
      <color rgb="FF000000"/>
      <name val="MS Gothic"/>
      <family val="3"/>
    </font>
    <font>
      <sz val="9"/>
      <color rgb="FF000000"/>
      <name val="Poppins"/>
    </font>
    <font>
      <sz val="10"/>
      <color rgb="FF515559"/>
      <name val="Arial"/>
      <family val="2"/>
    </font>
    <font>
      <sz val="10"/>
      <color rgb="FF222222"/>
      <name val="Calibri"/>
      <family val="2"/>
      <scheme val="minor"/>
    </font>
    <font>
      <b/>
      <sz val="9"/>
      <name val="Poppin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1" fillId="0" borderId="0"/>
  </cellStyleXfs>
  <cellXfs count="278">
    <xf numFmtId="0" fontId="0" fillId="0" borderId="0" xfId="0"/>
    <xf numFmtId="165" fontId="3" fillId="0" borderId="0" xfId="1" applyFont="1" applyBorder="1" applyAlignment="1">
      <alignment horizontal="center"/>
    </xf>
    <xf numFmtId="165" fontId="3" fillId="0" borderId="0" xfId="1" applyFont="1" applyBorder="1" applyAlignment="1">
      <alignment horizontal="center" vertical="center"/>
    </xf>
    <xf numFmtId="165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vertical="center"/>
    </xf>
    <xf numFmtId="165" fontId="3" fillId="0" borderId="0" xfId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5" fontId="4" fillId="0" borderId="0" xfId="1" applyFont="1" applyBorder="1" applyAlignment="1">
      <alignment vertical="top"/>
    </xf>
    <xf numFmtId="0" fontId="6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16" fontId="2" fillId="0" borderId="15" xfId="0" applyNumberFormat="1" applyFont="1" applyBorder="1" applyAlignment="1">
      <alignment vertical="top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65" fontId="5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8" xfId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165" fontId="15" fillId="0" borderId="0" xfId="1" applyFont="1" applyBorder="1" applyAlignment="1">
      <alignment horizontal="center" vertical="center"/>
    </xf>
    <xf numFmtId="165" fontId="15" fillId="0" borderId="0" xfId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5" fontId="18" fillId="0" borderId="0" xfId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9" fontId="14" fillId="0" borderId="8" xfId="0" applyNumberFormat="1" applyFont="1" applyBorder="1" applyAlignment="1">
      <alignment horizontal="center" vertical="center"/>
    </xf>
    <xf numFmtId="165" fontId="14" fillId="0" borderId="8" xfId="0" applyNumberFormat="1" applyFont="1" applyBorder="1" applyAlignment="1">
      <alignment horizontal="center" vertical="center"/>
    </xf>
    <xf numFmtId="165" fontId="14" fillId="0" borderId="8" xfId="1" applyFont="1" applyBorder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vertical="center"/>
    </xf>
    <xf numFmtId="165" fontId="15" fillId="0" borderId="0" xfId="1" applyFont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16" fontId="14" fillId="0" borderId="15" xfId="0" applyNumberFormat="1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165" fontId="16" fillId="0" borderId="0" xfId="1" applyFont="1" applyBorder="1" applyAlignment="1">
      <alignment vertical="center"/>
    </xf>
    <xf numFmtId="165" fontId="15" fillId="0" borderId="8" xfId="1" applyFont="1" applyBorder="1" applyAlignment="1">
      <alignment vertical="center"/>
    </xf>
    <xf numFmtId="165" fontId="14" fillId="0" borderId="8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164" fontId="15" fillId="0" borderId="0" xfId="2" applyFont="1" applyBorder="1" applyAlignment="1">
      <alignment horizontal="center" vertical="center"/>
    </xf>
    <xf numFmtId="164" fontId="14" fillId="0" borderId="0" xfId="2" applyFont="1" applyBorder="1" applyAlignment="1">
      <alignment vertical="center" wrapText="1"/>
    </xf>
    <xf numFmtId="0" fontId="14" fillId="2" borderId="8" xfId="0" applyFont="1" applyFill="1" applyBorder="1" applyAlignment="1">
      <alignment horizontal="center" vertical="center" wrapText="1"/>
    </xf>
    <xf numFmtId="165" fontId="14" fillId="2" borderId="8" xfId="0" applyNumberFormat="1" applyFont="1" applyFill="1" applyBorder="1" applyAlignment="1">
      <alignment horizontal="center" vertical="center" wrapText="1"/>
    </xf>
    <xf numFmtId="165" fontId="15" fillId="0" borderId="0" xfId="1" applyFont="1" applyBorder="1" applyAlignment="1">
      <alignment horizontal="left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165" fontId="25" fillId="0" borderId="0" xfId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13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16" fontId="27" fillId="0" borderId="15" xfId="0" applyNumberFormat="1" applyFont="1" applyBorder="1" applyAlignment="1">
      <alignment vertical="center" wrapText="1"/>
    </xf>
    <xf numFmtId="165" fontId="28" fillId="0" borderId="0" xfId="1" applyFont="1" applyBorder="1" applyAlignment="1">
      <alignment horizontal="center" vertical="center"/>
    </xf>
    <xf numFmtId="165" fontId="28" fillId="0" borderId="0" xfId="1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left" vertical="center" wrapText="1"/>
    </xf>
    <xf numFmtId="9" fontId="27" fillId="0" borderId="8" xfId="0" applyNumberFormat="1" applyFont="1" applyBorder="1" applyAlignment="1">
      <alignment horizontal="center" vertical="center"/>
    </xf>
    <xf numFmtId="165" fontId="27" fillId="0" borderId="8" xfId="0" applyNumberFormat="1" applyFont="1" applyBorder="1" applyAlignment="1">
      <alignment horizontal="center" vertical="center"/>
    </xf>
    <xf numFmtId="165" fontId="27" fillId="0" borderId="8" xfId="1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65" fontId="28" fillId="0" borderId="8" xfId="1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165" fontId="28" fillId="0" borderId="0" xfId="1" applyFont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165" fontId="29" fillId="0" borderId="0" xfId="1" applyFont="1" applyBorder="1" applyAlignment="1">
      <alignment vertical="center"/>
    </xf>
    <xf numFmtId="165" fontId="27" fillId="0" borderId="8" xfId="0" applyNumberFormat="1" applyFont="1" applyBorder="1" applyAlignment="1">
      <alignment horizontal="center" vertical="center" wrapText="1"/>
    </xf>
    <xf numFmtId="165" fontId="3" fillId="0" borderId="8" xfId="1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16" fontId="2" fillId="0" borderId="15" xfId="0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65" fontId="4" fillId="0" borderId="0" xfId="1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3" fillId="0" borderId="0" xfId="2" applyFont="1" applyBorder="1" applyAlignment="1">
      <alignment horizontal="center" vertical="center"/>
    </xf>
    <xf numFmtId="0" fontId="32" fillId="0" borderId="0" xfId="0" applyFont="1" applyAlignment="1">
      <alignment wrapText="1"/>
    </xf>
    <xf numFmtId="0" fontId="33" fillId="0" borderId="0" xfId="0" applyFont="1" applyAlignment="1">
      <alignment horizontal="center"/>
    </xf>
    <xf numFmtId="164" fontId="2" fillId="0" borderId="0" xfId="2" applyFont="1" applyBorder="1" applyAlignment="1">
      <alignment vertical="center" wrapText="1"/>
    </xf>
    <xf numFmtId="0" fontId="33" fillId="0" borderId="0" xfId="0" applyFont="1" applyAlignment="1">
      <alignment vertical="top" wrapText="1"/>
    </xf>
    <xf numFmtId="0" fontId="27" fillId="2" borderId="8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left" vertical="center" wrapText="1"/>
    </xf>
    <xf numFmtId="165" fontId="27" fillId="2" borderId="8" xfId="0" applyNumberFormat="1" applyFont="1" applyFill="1" applyBorder="1" applyAlignment="1">
      <alignment horizontal="center" vertical="center"/>
    </xf>
    <xf numFmtId="165" fontId="27" fillId="2" borderId="8" xfId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5" fontId="2" fillId="0" borderId="0" xfId="1" applyFont="1" applyAlignment="1">
      <alignment vertical="center" wrapText="1"/>
    </xf>
    <xf numFmtId="0" fontId="27" fillId="0" borderId="8" xfId="0" quotePrefix="1" applyFont="1" applyBorder="1" applyAlignment="1">
      <alignment horizontal="center" vertical="center" wrapText="1"/>
    </xf>
    <xf numFmtId="0" fontId="27" fillId="0" borderId="8" xfId="0" quotePrefix="1" applyFont="1" applyBorder="1" applyAlignment="1">
      <alignment horizontal="left" vertical="center" wrapText="1"/>
    </xf>
    <xf numFmtId="0" fontId="24" fillId="0" borderId="5" xfId="0" applyFont="1" applyBorder="1" applyAlignment="1">
      <alignment vertical="center"/>
    </xf>
    <xf numFmtId="0" fontId="27" fillId="0" borderId="12" xfId="0" quotePrefix="1" applyFont="1" applyBorder="1" applyAlignment="1">
      <alignment vertical="center" wrapText="1"/>
    </xf>
    <xf numFmtId="0" fontId="27" fillId="0" borderId="6" xfId="0" quotePrefix="1" applyFont="1" applyBorder="1" applyAlignment="1">
      <alignment vertical="center" wrapText="1"/>
    </xf>
    <xf numFmtId="0" fontId="24" fillId="0" borderId="6" xfId="0" applyFont="1" applyBorder="1" applyAlignment="1">
      <alignment vertical="center"/>
    </xf>
    <xf numFmtId="0" fontId="28" fillId="0" borderId="11" xfId="0" applyFont="1" applyBorder="1" applyAlignment="1">
      <alignment vertical="center" wrapText="1"/>
    </xf>
    <xf numFmtId="0" fontId="28" fillId="0" borderId="12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16" fontId="27" fillId="0" borderId="3" xfId="0" applyNumberFormat="1" applyFont="1" applyBorder="1" applyAlignment="1">
      <alignment vertical="center" wrapText="1"/>
    </xf>
    <xf numFmtId="0" fontId="24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6" xfId="0" quotePrefix="1" applyFont="1" applyBorder="1" applyAlignment="1">
      <alignment horizontal="left" vertical="center" wrapText="1"/>
    </xf>
    <xf numFmtId="165" fontId="27" fillId="0" borderId="6" xfId="0" applyNumberFormat="1" applyFont="1" applyBorder="1" applyAlignment="1">
      <alignment horizontal="center" vertical="center"/>
    </xf>
    <xf numFmtId="165" fontId="27" fillId="0" borderId="6" xfId="1" applyFont="1" applyBorder="1" applyAlignment="1">
      <alignment horizontal="center" vertical="center"/>
    </xf>
    <xf numFmtId="165" fontId="28" fillId="0" borderId="6" xfId="1" applyFont="1" applyBorder="1" applyAlignment="1">
      <alignment vertical="center"/>
    </xf>
    <xf numFmtId="0" fontId="28" fillId="0" borderId="6" xfId="0" applyFont="1" applyBorder="1" applyAlignment="1">
      <alignment vertical="center"/>
    </xf>
    <xf numFmtId="0" fontId="28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65" fontId="2" fillId="0" borderId="23" xfId="1" applyFont="1" applyBorder="1" applyAlignment="1">
      <alignment horizontal="center" vertical="center"/>
    </xf>
    <xf numFmtId="165" fontId="3" fillId="0" borderId="23" xfId="1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65" fontId="3" fillId="0" borderId="26" xfId="1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166" fontId="2" fillId="0" borderId="6" xfId="0" applyNumberFormat="1" applyFont="1" applyBorder="1" applyAlignment="1">
      <alignment horizontal="center" vertical="center"/>
    </xf>
    <xf numFmtId="166" fontId="2" fillId="0" borderId="6" xfId="1" applyNumberFormat="1" applyFont="1" applyBorder="1" applyAlignment="1">
      <alignment horizontal="center" vertical="center"/>
    </xf>
    <xf numFmtId="166" fontId="3" fillId="0" borderId="6" xfId="1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167" fontId="27" fillId="0" borderId="0" xfId="0" applyNumberFormat="1" applyFont="1" applyAlignment="1">
      <alignment vertical="center" wrapText="1"/>
    </xf>
    <xf numFmtId="168" fontId="28" fillId="0" borderId="0" xfId="1" applyNumberFormat="1" applyFont="1" applyBorder="1" applyAlignment="1">
      <alignment horizontal="center" vertical="center"/>
    </xf>
    <xf numFmtId="168" fontId="3" fillId="0" borderId="0" xfId="1" applyNumberFormat="1" applyFont="1" applyBorder="1" applyAlignment="1">
      <alignment horizontal="center" vertical="center"/>
    </xf>
    <xf numFmtId="168" fontId="9" fillId="0" borderId="0" xfId="0" applyNumberFormat="1" applyFont="1" applyAlignment="1">
      <alignment vertical="center"/>
    </xf>
    <xf numFmtId="168" fontId="27" fillId="0" borderId="0" xfId="0" applyNumberFormat="1" applyFont="1" applyAlignment="1">
      <alignment vertical="center" wrapText="1"/>
    </xf>
    <xf numFmtId="0" fontId="2" fillId="0" borderId="6" xfId="0" applyFont="1" applyBorder="1" applyAlignment="1">
      <alignment vertical="center"/>
    </xf>
    <xf numFmtId="169" fontId="9" fillId="0" borderId="0" xfId="0" applyNumberFormat="1" applyFont="1" applyAlignment="1">
      <alignment vertical="center"/>
    </xf>
    <xf numFmtId="168" fontId="0" fillId="0" borderId="0" xfId="0" applyNumberFormat="1"/>
    <xf numFmtId="168" fontId="0" fillId="0" borderId="0" xfId="0" applyNumberFormat="1" applyAlignment="1">
      <alignment vertical="center"/>
    </xf>
    <xf numFmtId="0" fontId="35" fillId="0" borderId="6" xfId="0" applyFont="1" applyBorder="1" applyAlignment="1">
      <alignment horizontal="center" vertical="center"/>
    </xf>
    <xf numFmtId="0" fontId="35" fillId="0" borderId="6" xfId="0" applyFont="1" applyBorder="1" applyAlignment="1">
      <alignment vertical="center" wrapText="1"/>
    </xf>
    <xf numFmtId="0" fontId="35" fillId="0" borderId="6" xfId="0" applyFont="1" applyBorder="1" applyAlignment="1">
      <alignment vertical="center"/>
    </xf>
    <xf numFmtId="169" fontId="0" fillId="0" borderId="0" xfId="0" applyNumberFormat="1"/>
    <xf numFmtId="168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6" xfId="3" applyNumberFormat="1" applyFont="1" applyBorder="1" applyAlignment="1">
      <alignment horizontal="center" vertical="center"/>
    </xf>
    <xf numFmtId="0" fontId="4" fillId="0" borderId="0" xfId="3" applyNumberFormat="1" applyFont="1"/>
    <xf numFmtId="0" fontId="2" fillId="0" borderId="6" xfId="3" applyNumberFormat="1" applyFont="1" applyBorder="1" applyAlignment="1">
      <alignment horizontal="center" vertical="center"/>
    </xf>
    <xf numFmtId="0" fontId="37" fillId="0" borderId="6" xfId="0" applyFont="1" applyBorder="1" applyAlignment="1">
      <alignment vertical="center"/>
    </xf>
    <xf numFmtId="0" fontId="3" fillId="0" borderId="6" xfId="3" applyNumberFormat="1" applyFont="1" applyBorder="1" applyAlignment="1">
      <alignment horizontal="center" vertical="center" wrapText="1"/>
    </xf>
    <xf numFmtId="169" fontId="9" fillId="0" borderId="6" xfId="3" applyNumberFormat="1" applyFont="1" applyBorder="1" applyAlignment="1">
      <alignment horizontal="center" vertical="center"/>
    </xf>
    <xf numFmtId="168" fontId="4" fillId="0" borderId="0" xfId="3" applyNumberFormat="1" applyFont="1" applyAlignment="1">
      <alignment horizontal="center" vertical="center"/>
    </xf>
    <xf numFmtId="0" fontId="3" fillId="0" borderId="6" xfId="3" applyNumberFormat="1" applyFont="1" applyBorder="1" applyAlignment="1">
      <alignment horizontal="left" vertical="center" wrapText="1"/>
    </xf>
    <xf numFmtId="0" fontId="4" fillId="0" borderId="0" xfId="1" applyNumberFormat="1" applyFont="1" applyAlignment="1">
      <alignment vertical="center"/>
    </xf>
    <xf numFmtId="165" fontId="4" fillId="0" borderId="0" xfId="1" applyFont="1" applyAlignment="1">
      <alignment vertical="center"/>
    </xf>
    <xf numFmtId="165" fontId="4" fillId="0" borderId="0" xfId="1" applyFont="1"/>
    <xf numFmtId="0" fontId="3" fillId="0" borderId="6" xfId="3" applyNumberFormat="1" applyFont="1" applyBorder="1" applyAlignment="1">
      <alignment horizontal="center" vertical="top" wrapText="1"/>
    </xf>
    <xf numFmtId="170" fontId="38" fillId="0" borderId="0" xfId="3" applyFont="1"/>
    <xf numFmtId="0" fontId="9" fillId="2" borderId="6" xfId="3" applyNumberFormat="1" applyFont="1" applyFill="1" applyBorder="1" applyAlignment="1">
      <alignment horizontal="center" vertical="center"/>
    </xf>
    <xf numFmtId="168" fontId="9" fillId="0" borderId="6" xfId="3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vertical="center"/>
    </xf>
    <xf numFmtId="165" fontId="4" fillId="0" borderId="6" xfId="1" applyFont="1" applyBorder="1" applyAlignment="1">
      <alignment vertical="center"/>
    </xf>
    <xf numFmtId="169" fontId="4" fillId="0" borderId="0" xfId="1" applyNumberFormat="1" applyFont="1" applyAlignment="1">
      <alignment vertical="center"/>
    </xf>
    <xf numFmtId="169" fontId="9" fillId="2" borderId="6" xfId="1" applyNumberFormat="1" applyFont="1" applyFill="1" applyBorder="1" applyAlignment="1">
      <alignment vertical="center"/>
    </xf>
    <xf numFmtId="169" fontId="9" fillId="2" borderId="7" xfId="1" applyNumberFormat="1" applyFont="1" applyFill="1" applyBorder="1" applyAlignment="1">
      <alignment vertical="center"/>
    </xf>
    <xf numFmtId="169" fontId="4" fillId="0" borderId="7" xfId="1" applyNumberFormat="1" applyFont="1" applyFill="1" applyBorder="1" applyAlignment="1">
      <alignment horizontal="center" vertical="center"/>
    </xf>
    <xf numFmtId="169" fontId="4" fillId="0" borderId="7" xfId="1" applyNumberFormat="1" applyFont="1" applyBorder="1" applyAlignment="1">
      <alignment vertical="center"/>
    </xf>
    <xf numFmtId="169" fontId="4" fillId="0" borderId="6" xfId="1" quotePrefix="1" applyNumberFormat="1" applyFont="1" applyFill="1" applyBorder="1" applyAlignment="1">
      <alignment vertical="center" wrapText="1"/>
    </xf>
    <xf numFmtId="165" fontId="4" fillId="0" borderId="6" xfId="1" applyFont="1" applyFill="1" applyBorder="1" applyAlignment="1">
      <alignment vertical="center"/>
    </xf>
    <xf numFmtId="169" fontId="39" fillId="0" borderId="6" xfId="0" applyNumberFormat="1" applyFont="1" applyBorder="1"/>
    <xf numFmtId="0" fontId="39" fillId="0" borderId="6" xfId="0" applyFont="1" applyBorder="1" applyAlignment="1">
      <alignment wrapText="1"/>
    </xf>
    <xf numFmtId="0" fontId="39" fillId="0" borderId="6" xfId="0" applyFont="1" applyBorder="1" applyAlignment="1">
      <alignment vertical="center" wrapText="1"/>
    </xf>
    <xf numFmtId="0" fontId="39" fillId="0" borderId="6" xfId="0" applyFont="1" applyBorder="1" applyAlignment="1">
      <alignment horizontal="left" vertical="top" wrapText="1"/>
    </xf>
    <xf numFmtId="0" fontId="40" fillId="0" borderId="6" xfId="0" applyFont="1" applyBorder="1" applyAlignment="1">
      <alignment vertical="center"/>
    </xf>
    <xf numFmtId="0" fontId="3" fillId="0" borderId="6" xfId="3" applyNumberFormat="1" applyFont="1" applyBorder="1" applyAlignment="1">
      <alignment horizontal="left" vertical="top" wrapText="1"/>
    </xf>
    <xf numFmtId="0" fontId="2" fillId="0" borderId="6" xfId="3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165" fontId="3" fillId="0" borderId="8" xfId="1" applyFont="1" applyBorder="1" applyAlignment="1">
      <alignment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8" fillId="0" borderId="11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8" fillId="0" borderId="6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28" fillId="2" borderId="9" xfId="0" applyFont="1" applyFill="1" applyBorder="1" applyAlignment="1">
      <alignment horizontal="left" vertical="center" wrapText="1"/>
    </xf>
    <xf numFmtId="0" fontId="28" fillId="2" borderId="10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</cellXfs>
  <cellStyles count="4">
    <cellStyle name="Comma" xfId="1" builtinId="3"/>
    <cellStyle name="Currency" xfId="2" builtinId="4"/>
    <cellStyle name="Normal" xfId="0" builtinId="0"/>
    <cellStyle name="Normal 3" xfId="3" xr:uid="{77CFCB84-6DC6-40BE-A698-2C7AEB8AC7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ST@%2018%25" TargetMode="External"/><Relationship Id="rId1" Type="http://schemas.openxmlformats.org/officeDocument/2006/relationships/hyperlink" Target="mailto:CST@2%2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ST@%2018%25" TargetMode="External"/><Relationship Id="rId1" Type="http://schemas.openxmlformats.org/officeDocument/2006/relationships/hyperlink" Target="mailto:CST@2%25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GST@%2018%25" TargetMode="External"/><Relationship Id="rId1" Type="http://schemas.openxmlformats.org/officeDocument/2006/relationships/hyperlink" Target="mailto:CST@2%25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GST@%2018%25" TargetMode="External"/><Relationship Id="rId1" Type="http://schemas.openxmlformats.org/officeDocument/2006/relationships/hyperlink" Target="mailto:CST@2%25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GST@%2018%25" TargetMode="External"/><Relationship Id="rId1" Type="http://schemas.openxmlformats.org/officeDocument/2006/relationships/hyperlink" Target="mailto:CST@2%25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CST@2%25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CST@2%25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CST@2%25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CST@2%25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CST@2%25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CST@2%25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CST@2%25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CST@2%25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CST@2%25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CST@2%25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CST@2%25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CST@2%25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CST@2%25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CST@2%25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CST@2%25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CST@2%25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CST@2%25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mailto:CST@2%25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mailto:CST@2%25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mailto:CST@2%25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CST@2%25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mailto:CST@2%25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mailto:CST@2%25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CST@2%25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CST@2%25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CST@2%25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CST@2%25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CST@2%25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CST@2%25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mailto:CST@2%25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mailto:CST@2%25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mailto:CST@2%25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mailto:CST@2%25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mailto:CST@2%25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mailto:CST@2%25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mailto:CST@2%25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mailto:CST@2%25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mailto:CST@2%25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mailto:CST@2%25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mailto:CST@2%25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mailto:CST@2%25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mailto:CST@2%25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mailto:CST@2%25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mailto:CST@2%25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mailto:CST@2%25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hyperlink" Target="mailto:CST@2%25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hyperlink" Target="mailto:CST@2%25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CST@2%25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4.bin"/><Relationship Id="rId1" Type="http://schemas.openxmlformats.org/officeDocument/2006/relationships/hyperlink" Target="mailto:CST@2%25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5.bin"/><Relationship Id="rId1" Type="http://schemas.openxmlformats.org/officeDocument/2006/relationships/hyperlink" Target="mailto:CST@2%25" TargetMode="Externa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6.bin"/><Relationship Id="rId1" Type="http://schemas.openxmlformats.org/officeDocument/2006/relationships/hyperlink" Target="mailto:CST@2%25" TargetMode="Externa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7.bin"/><Relationship Id="rId1" Type="http://schemas.openxmlformats.org/officeDocument/2006/relationships/hyperlink" Target="mailto:CST@2%25" TargetMode="Externa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workbookViewId="0">
      <selection activeCell="L3" sqref="L3"/>
    </sheetView>
  </sheetViews>
  <sheetFormatPr defaultColWidth="9.109375" defaultRowHeight="13.8" x14ac:dyDescent="0.3"/>
  <cols>
    <col min="1" max="1" width="6.109375" style="13" customWidth="1"/>
    <col min="2" max="2" width="11.6640625" style="6" customWidth="1"/>
    <col min="3" max="3" width="45" style="6" customWidth="1"/>
    <col min="4" max="4" width="5.88671875" style="14" bestFit="1" customWidth="1"/>
    <col min="5" max="5" width="5.33203125" style="7" customWidth="1"/>
    <col min="6" max="6" width="9" style="14" bestFit="1" customWidth="1"/>
    <col min="7" max="7" width="8.5546875" style="7" customWidth="1"/>
    <col min="8" max="8" width="13.33203125" style="7" customWidth="1"/>
    <col min="9" max="9" width="9.6640625" style="7" bestFit="1" customWidth="1"/>
    <col min="10" max="10" width="12.44140625" style="7" bestFit="1" customWidth="1"/>
    <col min="11" max="11" width="11" style="15" bestFit="1" customWidth="1"/>
    <col min="12" max="12" width="12.44140625" style="15" bestFit="1" customWidth="1"/>
    <col min="13" max="13" width="13.44140625" style="15" hidden="1" customWidth="1"/>
    <col min="14" max="14" width="9.109375" style="15"/>
    <col min="15" max="15" width="11" style="15" bestFit="1" customWidth="1"/>
    <col min="16" max="16384" width="9.109375" style="7"/>
  </cols>
  <sheetData>
    <row r="1" spans="1:16" s="5" customFormat="1" ht="13.5" customHeight="1" thickBot="1" x14ac:dyDescent="0.35">
      <c r="A1" s="211"/>
      <c r="B1" s="212"/>
      <c r="C1" s="212"/>
      <c r="D1" s="212"/>
      <c r="E1" s="213"/>
      <c r="F1" s="19"/>
      <c r="G1" s="20"/>
      <c r="H1" s="20"/>
      <c r="I1" s="20"/>
      <c r="J1" s="21"/>
      <c r="K1" s="2"/>
      <c r="L1" s="1"/>
      <c r="M1" s="3"/>
      <c r="N1" s="3"/>
      <c r="O1" s="3"/>
      <c r="P1" s="4"/>
    </row>
    <row r="2" spans="1:16" s="26" customFormat="1" x14ac:dyDescent="0.3">
      <c r="A2" s="22" t="s">
        <v>0</v>
      </c>
      <c r="B2" s="23" t="s">
        <v>15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2" t="s">
        <v>8</v>
      </c>
      <c r="K2" s="24" t="s">
        <v>61</v>
      </c>
      <c r="L2" s="24" t="s">
        <v>51</v>
      </c>
      <c r="M2" s="24" t="s">
        <v>52</v>
      </c>
      <c r="N2" s="24" t="s">
        <v>60</v>
      </c>
      <c r="O2" s="24"/>
      <c r="P2" s="25"/>
    </row>
    <row r="3" spans="1:16" ht="39.9" customHeight="1" x14ac:dyDescent="0.3">
      <c r="A3" s="27">
        <v>1</v>
      </c>
      <c r="B3" s="34" t="s">
        <v>14</v>
      </c>
      <c r="C3" s="28" t="s">
        <v>16</v>
      </c>
      <c r="D3" s="27" t="s">
        <v>56</v>
      </c>
      <c r="E3" s="27">
        <v>7</v>
      </c>
      <c r="F3" s="27">
        <v>9032</v>
      </c>
      <c r="G3" s="30">
        <v>0.18</v>
      </c>
      <c r="H3" s="31">
        <f>L3*74*1.4</f>
        <v>267766.15384615381</v>
      </c>
      <c r="I3" s="31">
        <f>H3*G3</f>
        <v>48197.907692307686</v>
      </c>
      <c r="J3" s="32">
        <f>(H3+I3)*E3</f>
        <v>2211748.4307692302</v>
      </c>
      <c r="K3" s="2">
        <v>2584.6153846153848</v>
      </c>
      <c r="L3" s="24">
        <f>M3/6.5</f>
        <v>2584.6153846153848</v>
      </c>
      <c r="M3" s="2">
        <v>16800</v>
      </c>
      <c r="N3" s="2">
        <v>3013</v>
      </c>
      <c r="O3" s="2">
        <f>N3*73*1.25</f>
        <v>274936.25</v>
      </c>
      <c r="P3" s="35">
        <f>(O3-H3)/O3%</f>
        <v>2.6079122537847175</v>
      </c>
    </row>
    <row r="4" spans="1:16" ht="39.9" customHeight="1" x14ac:dyDescent="0.3">
      <c r="A4" s="27">
        <v>2</v>
      </c>
      <c r="B4" s="34" t="s">
        <v>14</v>
      </c>
      <c r="C4" s="28" t="s">
        <v>17</v>
      </c>
      <c r="D4" s="27" t="s">
        <v>56</v>
      </c>
      <c r="E4" s="27">
        <v>1</v>
      </c>
      <c r="F4" s="27">
        <v>9032</v>
      </c>
      <c r="G4" s="30">
        <v>0.18</v>
      </c>
      <c r="H4" s="31">
        <f t="shared" ref="H4:H35" si="0">L4*74*1.4</f>
        <v>47815.384615384617</v>
      </c>
      <c r="I4" s="31">
        <f t="shared" ref="I4:I39" si="1">H4*G4</f>
        <v>8606.7692307692305</v>
      </c>
      <c r="J4" s="32">
        <f t="shared" ref="J4:J39" si="2">(H4+I4)*E4</f>
        <v>56422.153846153844</v>
      </c>
      <c r="K4" s="2">
        <v>461.53846153846155</v>
      </c>
      <c r="L4" s="2">
        <f t="shared" ref="L4:L33" si="3">M4/6.5</f>
        <v>461.53846153846155</v>
      </c>
      <c r="M4" s="2">
        <v>3000</v>
      </c>
      <c r="N4" s="2">
        <v>768</v>
      </c>
      <c r="O4" s="2">
        <f t="shared" ref="O4:O39" si="4">N4*73*1.25</f>
        <v>70080</v>
      </c>
      <c r="P4" s="35">
        <f t="shared" ref="P4:P39" si="5">(O4-H4)/O4%</f>
        <v>31.770284510010537</v>
      </c>
    </row>
    <row r="5" spans="1:16" ht="39.9" customHeight="1" x14ac:dyDescent="0.3">
      <c r="A5" s="27">
        <v>3</v>
      </c>
      <c r="B5" s="34" t="s">
        <v>14</v>
      </c>
      <c r="C5" s="28" t="s">
        <v>18</v>
      </c>
      <c r="D5" s="27" t="s">
        <v>56</v>
      </c>
      <c r="E5" s="27">
        <v>0</v>
      </c>
      <c r="F5" s="27">
        <v>9032</v>
      </c>
      <c r="G5" s="30">
        <v>0.18</v>
      </c>
      <c r="H5" s="31">
        <f t="shared" si="0"/>
        <v>73316.923076923078</v>
      </c>
      <c r="I5" s="31">
        <f t="shared" si="1"/>
        <v>13197.046153846153</v>
      </c>
      <c r="J5" s="32">
        <f t="shared" si="2"/>
        <v>0</v>
      </c>
      <c r="K5" s="2">
        <v>707.69230769230774</v>
      </c>
      <c r="L5" s="2">
        <f t="shared" si="3"/>
        <v>707.69230769230774</v>
      </c>
      <c r="M5" s="2">
        <v>4600</v>
      </c>
      <c r="N5" s="2">
        <v>860</v>
      </c>
      <c r="O5" s="2">
        <f t="shared" si="4"/>
        <v>78475</v>
      </c>
      <c r="P5" s="35">
        <f t="shared" si="5"/>
        <v>6.572891905800474</v>
      </c>
    </row>
    <row r="6" spans="1:16" ht="39.9" customHeight="1" x14ac:dyDescent="0.3">
      <c r="A6" s="27">
        <v>4</v>
      </c>
      <c r="B6" s="34" t="s">
        <v>14</v>
      </c>
      <c r="C6" s="28" t="s">
        <v>19</v>
      </c>
      <c r="D6" s="27" t="s">
        <v>56</v>
      </c>
      <c r="E6" s="27">
        <v>1</v>
      </c>
      <c r="F6" s="27">
        <v>9032</v>
      </c>
      <c r="G6" s="30">
        <v>0.18</v>
      </c>
      <c r="H6" s="31">
        <f t="shared" si="0"/>
        <v>82880</v>
      </c>
      <c r="I6" s="31">
        <f t="shared" si="1"/>
        <v>14918.4</v>
      </c>
      <c r="J6" s="32">
        <f t="shared" si="2"/>
        <v>97798.399999999994</v>
      </c>
      <c r="K6" s="2">
        <v>800</v>
      </c>
      <c r="L6" s="2">
        <f t="shared" si="3"/>
        <v>800</v>
      </c>
      <c r="M6" s="2">
        <v>5200</v>
      </c>
      <c r="N6" s="2">
        <v>1095</v>
      </c>
      <c r="O6" s="2">
        <f t="shared" si="4"/>
        <v>99918.75</v>
      </c>
      <c r="P6" s="35">
        <f t="shared" si="5"/>
        <v>17.052605241758929</v>
      </c>
    </row>
    <row r="7" spans="1:16" ht="39.9" customHeight="1" x14ac:dyDescent="0.3">
      <c r="A7" s="27">
        <v>5</v>
      </c>
      <c r="B7" s="34" t="s">
        <v>14</v>
      </c>
      <c r="C7" s="28" t="s">
        <v>20</v>
      </c>
      <c r="D7" s="27" t="s">
        <v>56</v>
      </c>
      <c r="E7" s="27">
        <v>1</v>
      </c>
      <c r="F7" s="27">
        <v>9032</v>
      </c>
      <c r="G7" s="30">
        <v>0.18</v>
      </c>
      <c r="H7" s="31">
        <f t="shared" si="0"/>
        <v>55784.615384615376</v>
      </c>
      <c r="I7" s="31">
        <f t="shared" si="1"/>
        <v>10041.230769230768</v>
      </c>
      <c r="J7" s="32">
        <f t="shared" si="2"/>
        <v>65825.846153846142</v>
      </c>
      <c r="K7" s="2">
        <v>538.46153846153845</v>
      </c>
      <c r="L7" s="2">
        <f t="shared" si="3"/>
        <v>538.46153846153845</v>
      </c>
      <c r="M7" s="2">
        <v>3500</v>
      </c>
      <c r="N7" s="2">
        <v>836</v>
      </c>
      <c r="O7" s="2">
        <f t="shared" si="4"/>
        <v>76285</v>
      </c>
      <c r="P7" s="35">
        <f t="shared" si="5"/>
        <v>26.873414977236184</v>
      </c>
    </row>
    <row r="8" spans="1:16" ht="39.9" customHeight="1" x14ac:dyDescent="0.3">
      <c r="A8" s="27">
        <v>6</v>
      </c>
      <c r="B8" s="34" t="s">
        <v>14</v>
      </c>
      <c r="C8" s="28" t="s">
        <v>21</v>
      </c>
      <c r="D8" s="27" t="s">
        <v>56</v>
      </c>
      <c r="E8" s="27">
        <v>1</v>
      </c>
      <c r="F8" s="27">
        <v>9032</v>
      </c>
      <c r="G8" s="30">
        <v>0.18</v>
      </c>
      <c r="H8" s="31">
        <f t="shared" si="0"/>
        <v>103600</v>
      </c>
      <c r="I8" s="31">
        <f t="shared" si="1"/>
        <v>18648</v>
      </c>
      <c r="J8" s="32">
        <f t="shared" si="2"/>
        <v>122248</v>
      </c>
      <c r="K8" s="2">
        <v>1000</v>
      </c>
      <c r="L8" s="2">
        <f t="shared" si="3"/>
        <v>1000</v>
      </c>
      <c r="M8" s="2">
        <v>6500</v>
      </c>
      <c r="N8" s="2">
        <v>1141</v>
      </c>
      <c r="O8" s="2">
        <f t="shared" si="4"/>
        <v>104116.25</v>
      </c>
      <c r="P8" s="35">
        <f t="shared" si="5"/>
        <v>0.49583998655349193</v>
      </c>
    </row>
    <row r="9" spans="1:16" ht="39.9" customHeight="1" x14ac:dyDescent="0.3">
      <c r="A9" s="27">
        <v>7</v>
      </c>
      <c r="B9" s="34" t="s">
        <v>14</v>
      </c>
      <c r="C9" s="28" t="s">
        <v>22</v>
      </c>
      <c r="D9" s="27" t="s">
        <v>56</v>
      </c>
      <c r="E9" s="27">
        <v>4</v>
      </c>
      <c r="F9" s="27">
        <v>9032</v>
      </c>
      <c r="G9" s="30">
        <v>0.18</v>
      </c>
      <c r="H9" s="31">
        <f t="shared" si="0"/>
        <v>39846.153846153851</v>
      </c>
      <c r="I9" s="31">
        <f t="shared" si="1"/>
        <v>7172.3076923076933</v>
      </c>
      <c r="J9" s="32">
        <f t="shared" si="2"/>
        <v>188073.84615384619</v>
      </c>
      <c r="K9" s="2">
        <v>384.61538461538464</v>
      </c>
      <c r="L9" s="2">
        <f t="shared" si="3"/>
        <v>384.61538461538464</v>
      </c>
      <c r="M9" s="2">
        <v>2500</v>
      </c>
      <c r="N9" s="2">
        <v>685</v>
      </c>
      <c r="O9" s="2">
        <f t="shared" si="4"/>
        <v>62506.25</v>
      </c>
      <c r="P9" s="35">
        <f t="shared" si="5"/>
        <v>36.252528593294507</v>
      </c>
    </row>
    <row r="10" spans="1:16" ht="39.9" customHeight="1" x14ac:dyDescent="0.3">
      <c r="A10" s="27">
        <v>8</v>
      </c>
      <c r="B10" s="34" t="s">
        <v>14</v>
      </c>
      <c r="C10" s="28" t="s">
        <v>23</v>
      </c>
      <c r="D10" s="27" t="s">
        <v>56</v>
      </c>
      <c r="E10" s="27">
        <v>0</v>
      </c>
      <c r="F10" s="27">
        <v>9032</v>
      </c>
      <c r="G10" s="30">
        <v>0.18</v>
      </c>
      <c r="H10" s="31">
        <f t="shared" si="0"/>
        <v>28689.230769230766</v>
      </c>
      <c r="I10" s="31">
        <f t="shared" si="1"/>
        <v>5164.0615384615376</v>
      </c>
      <c r="J10" s="32">
        <f t="shared" si="2"/>
        <v>0</v>
      </c>
      <c r="K10" s="2">
        <v>276.92307692307691</v>
      </c>
      <c r="L10" s="2">
        <f t="shared" si="3"/>
        <v>276.92307692307691</v>
      </c>
      <c r="M10" s="2">
        <v>1800</v>
      </c>
      <c r="N10" s="2">
        <v>578</v>
      </c>
      <c r="O10" s="2">
        <f t="shared" si="4"/>
        <v>52742.5</v>
      </c>
      <c r="P10" s="35">
        <f t="shared" si="5"/>
        <v>45.605098792755818</v>
      </c>
    </row>
    <row r="11" spans="1:16" ht="39.9" customHeight="1" x14ac:dyDescent="0.3">
      <c r="A11" s="27">
        <v>9</v>
      </c>
      <c r="B11" s="34" t="s">
        <v>14</v>
      </c>
      <c r="C11" s="28" t="s">
        <v>24</v>
      </c>
      <c r="D11" s="27" t="s">
        <v>56</v>
      </c>
      <c r="E11" s="27">
        <v>5</v>
      </c>
      <c r="F11" s="27">
        <v>9032</v>
      </c>
      <c r="G11" s="30">
        <v>0.18</v>
      </c>
      <c r="H11" s="31">
        <f t="shared" si="0"/>
        <v>33470.769230769227</v>
      </c>
      <c r="I11" s="31">
        <f t="shared" si="1"/>
        <v>6024.7384615384608</v>
      </c>
      <c r="J11" s="32">
        <f t="shared" si="2"/>
        <v>197477.53846153844</v>
      </c>
      <c r="K11" s="2">
        <v>323.07692307692309</v>
      </c>
      <c r="L11" s="2">
        <f t="shared" si="3"/>
        <v>323.07692307692309</v>
      </c>
      <c r="M11" s="2">
        <v>2100</v>
      </c>
      <c r="N11" s="2">
        <v>776</v>
      </c>
      <c r="O11" s="2">
        <f t="shared" si="4"/>
        <v>70810</v>
      </c>
      <c r="P11" s="35">
        <f t="shared" si="5"/>
        <v>52.731578547141325</v>
      </c>
    </row>
    <row r="12" spans="1:16" ht="39.9" customHeight="1" x14ac:dyDescent="0.3">
      <c r="A12" s="27">
        <v>10</v>
      </c>
      <c r="B12" s="34" t="s">
        <v>14</v>
      </c>
      <c r="C12" s="28" t="s">
        <v>25</v>
      </c>
      <c r="D12" s="27" t="s">
        <v>56</v>
      </c>
      <c r="E12" s="27">
        <v>0</v>
      </c>
      <c r="F12" s="27">
        <v>9032</v>
      </c>
      <c r="G12" s="30">
        <v>0.18</v>
      </c>
      <c r="H12" s="31">
        <f t="shared" si="0"/>
        <v>39846.153846153851</v>
      </c>
      <c r="I12" s="31">
        <f t="shared" si="1"/>
        <v>7172.3076923076933</v>
      </c>
      <c r="J12" s="32">
        <f t="shared" si="2"/>
        <v>0</v>
      </c>
      <c r="K12" s="2">
        <v>384.61538461538464</v>
      </c>
      <c r="L12" s="2">
        <f t="shared" si="3"/>
        <v>384.61538461538464</v>
      </c>
      <c r="M12" s="2">
        <v>2500</v>
      </c>
      <c r="N12" s="2">
        <v>685</v>
      </c>
      <c r="O12" s="2">
        <f t="shared" si="4"/>
        <v>62506.25</v>
      </c>
      <c r="P12" s="35">
        <f t="shared" si="5"/>
        <v>36.252528593294507</v>
      </c>
    </row>
    <row r="13" spans="1:16" ht="39.9" customHeight="1" x14ac:dyDescent="0.3">
      <c r="A13" s="27">
        <v>11</v>
      </c>
      <c r="B13" s="34" t="s">
        <v>14</v>
      </c>
      <c r="C13" s="28" t="s">
        <v>26</v>
      </c>
      <c r="D13" s="27" t="s">
        <v>56</v>
      </c>
      <c r="E13" s="27">
        <v>2</v>
      </c>
      <c r="F13" s="27">
        <v>9032</v>
      </c>
      <c r="G13" s="30">
        <v>0.18</v>
      </c>
      <c r="H13" s="31">
        <f t="shared" si="0"/>
        <v>35064.615384615376</v>
      </c>
      <c r="I13" s="31">
        <f t="shared" si="1"/>
        <v>6311.6307692307673</v>
      </c>
      <c r="J13" s="32">
        <f t="shared" si="2"/>
        <v>82752.492307692286</v>
      </c>
      <c r="K13" s="2">
        <v>338.46153846153845</v>
      </c>
      <c r="L13" s="2">
        <f t="shared" si="3"/>
        <v>338.46153846153845</v>
      </c>
      <c r="M13" s="2">
        <v>2200</v>
      </c>
      <c r="N13" s="2">
        <v>685</v>
      </c>
      <c r="O13" s="2">
        <f t="shared" si="4"/>
        <v>62506.25</v>
      </c>
      <c r="P13" s="35">
        <f t="shared" si="5"/>
        <v>43.902225162099192</v>
      </c>
    </row>
    <row r="14" spans="1:16" ht="39.9" customHeight="1" x14ac:dyDescent="0.3">
      <c r="A14" s="27">
        <v>12</v>
      </c>
      <c r="B14" s="34" t="s">
        <v>14</v>
      </c>
      <c r="C14" s="28" t="s">
        <v>27</v>
      </c>
      <c r="D14" s="27" t="s">
        <v>56</v>
      </c>
      <c r="E14" s="27">
        <v>0</v>
      </c>
      <c r="F14" s="27">
        <v>9032</v>
      </c>
      <c r="G14" s="30">
        <v>0.18</v>
      </c>
      <c r="H14" s="31">
        <f t="shared" si="0"/>
        <v>41440</v>
      </c>
      <c r="I14" s="31">
        <f t="shared" si="1"/>
        <v>7459.2</v>
      </c>
      <c r="J14" s="32">
        <f t="shared" si="2"/>
        <v>0</v>
      </c>
      <c r="K14" s="2">
        <v>400</v>
      </c>
      <c r="L14" s="2">
        <f t="shared" si="3"/>
        <v>400</v>
      </c>
      <c r="M14" s="2">
        <v>2600</v>
      </c>
      <c r="N14" s="2">
        <v>639</v>
      </c>
      <c r="O14" s="2">
        <f t="shared" si="4"/>
        <v>58308.75</v>
      </c>
      <c r="P14" s="35">
        <f t="shared" si="5"/>
        <v>28.930049092117393</v>
      </c>
    </row>
    <row r="15" spans="1:16" ht="39.9" customHeight="1" x14ac:dyDescent="0.3">
      <c r="A15" s="27">
        <v>13</v>
      </c>
      <c r="B15" s="34" t="s">
        <v>14</v>
      </c>
      <c r="C15" s="28" t="s">
        <v>28</v>
      </c>
      <c r="D15" s="27" t="s">
        <v>56</v>
      </c>
      <c r="E15" s="27">
        <v>4</v>
      </c>
      <c r="F15" s="27">
        <v>9032</v>
      </c>
      <c r="G15" s="30">
        <v>0.18</v>
      </c>
      <c r="H15" s="31">
        <f t="shared" si="0"/>
        <v>39846.153846153851</v>
      </c>
      <c r="I15" s="31">
        <f t="shared" si="1"/>
        <v>7172.3076923076933</v>
      </c>
      <c r="J15" s="32">
        <f t="shared" si="2"/>
        <v>188073.84615384619</v>
      </c>
      <c r="K15" s="2">
        <v>384.61538461538464</v>
      </c>
      <c r="L15" s="2">
        <f t="shared" si="3"/>
        <v>384.61538461538464</v>
      </c>
      <c r="M15" s="2">
        <v>2500</v>
      </c>
      <c r="N15" s="2">
        <v>700</v>
      </c>
      <c r="O15" s="2">
        <f t="shared" si="4"/>
        <v>63875</v>
      </c>
      <c r="P15" s="35">
        <f t="shared" si="5"/>
        <v>37.618545837723914</v>
      </c>
    </row>
    <row r="16" spans="1:16" ht="39.9" customHeight="1" x14ac:dyDescent="0.3">
      <c r="A16" s="27">
        <v>14</v>
      </c>
      <c r="B16" s="34" t="s">
        <v>14</v>
      </c>
      <c r="C16" s="28" t="s">
        <v>29</v>
      </c>
      <c r="D16" s="27" t="s">
        <v>56</v>
      </c>
      <c r="E16" s="27">
        <v>0</v>
      </c>
      <c r="F16" s="27">
        <v>9032</v>
      </c>
      <c r="G16" s="30">
        <v>0.18</v>
      </c>
      <c r="H16" s="31">
        <f t="shared" si="0"/>
        <v>44627.692307692305</v>
      </c>
      <c r="I16" s="31">
        <f t="shared" si="1"/>
        <v>8032.9846153846147</v>
      </c>
      <c r="J16" s="32">
        <f t="shared" si="2"/>
        <v>0</v>
      </c>
      <c r="K16" s="2">
        <v>430.76923076923077</v>
      </c>
      <c r="L16" s="2">
        <f t="shared" si="3"/>
        <v>430.76923076923077</v>
      </c>
      <c r="M16" s="2">
        <v>2800</v>
      </c>
      <c r="N16" s="2">
        <v>730</v>
      </c>
      <c r="O16" s="2">
        <f t="shared" si="4"/>
        <v>66612.5</v>
      </c>
      <c r="P16" s="35">
        <f t="shared" si="5"/>
        <v>33.004027310651445</v>
      </c>
    </row>
    <row r="17" spans="1:16" ht="39.9" customHeight="1" x14ac:dyDescent="0.3">
      <c r="A17" s="27">
        <v>15</v>
      </c>
      <c r="B17" s="34" t="s">
        <v>14</v>
      </c>
      <c r="C17" s="28" t="s">
        <v>30</v>
      </c>
      <c r="D17" s="27" t="s">
        <v>56</v>
      </c>
      <c r="E17" s="27">
        <v>3</v>
      </c>
      <c r="F17" s="27">
        <v>9032</v>
      </c>
      <c r="G17" s="30">
        <v>0.18</v>
      </c>
      <c r="H17" s="31">
        <f t="shared" si="0"/>
        <v>44627.692307692305</v>
      </c>
      <c r="I17" s="31">
        <f t="shared" si="1"/>
        <v>8032.9846153846147</v>
      </c>
      <c r="J17" s="32">
        <f t="shared" si="2"/>
        <v>157982.03076923077</v>
      </c>
      <c r="K17" s="2">
        <v>430.76923076923077</v>
      </c>
      <c r="L17" s="2">
        <f t="shared" si="3"/>
        <v>430.76923076923077</v>
      </c>
      <c r="M17" s="2">
        <v>2800</v>
      </c>
      <c r="N17" s="2">
        <v>730</v>
      </c>
      <c r="O17" s="2">
        <f t="shared" si="4"/>
        <v>66612.5</v>
      </c>
      <c r="P17" s="35">
        <f t="shared" si="5"/>
        <v>33.004027310651445</v>
      </c>
    </row>
    <row r="18" spans="1:16" ht="39.9" customHeight="1" x14ac:dyDescent="0.3">
      <c r="A18" s="27">
        <v>16</v>
      </c>
      <c r="B18" s="34" t="s">
        <v>14</v>
      </c>
      <c r="C18" s="28" t="s">
        <v>49</v>
      </c>
      <c r="D18" s="27" t="s">
        <v>56</v>
      </c>
      <c r="E18" s="27">
        <v>2</v>
      </c>
      <c r="F18" s="27">
        <v>9032</v>
      </c>
      <c r="G18" s="30">
        <v>0.18</v>
      </c>
      <c r="H18" s="31">
        <f t="shared" si="0"/>
        <v>55784.615384615376</v>
      </c>
      <c r="I18" s="31">
        <f t="shared" si="1"/>
        <v>10041.230769230768</v>
      </c>
      <c r="J18" s="32">
        <f t="shared" si="2"/>
        <v>131651.69230769228</v>
      </c>
      <c r="K18" s="2">
        <v>538.46153846153845</v>
      </c>
      <c r="L18" s="2">
        <f t="shared" si="3"/>
        <v>538.46153846153845</v>
      </c>
      <c r="M18" s="2">
        <v>3500</v>
      </c>
      <c r="N18" s="2">
        <v>836</v>
      </c>
      <c r="O18" s="2">
        <f t="shared" si="4"/>
        <v>76285</v>
      </c>
      <c r="P18" s="35">
        <f t="shared" si="5"/>
        <v>26.873414977236184</v>
      </c>
    </row>
    <row r="19" spans="1:16" ht="39.9" customHeight="1" x14ac:dyDescent="0.3">
      <c r="A19" s="27">
        <v>17</v>
      </c>
      <c r="B19" s="34" t="s">
        <v>14</v>
      </c>
      <c r="C19" s="28" t="s">
        <v>31</v>
      </c>
      <c r="D19" s="27" t="s">
        <v>56</v>
      </c>
      <c r="E19" s="27">
        <v>0</v>
      </c>
      <c r="F19" s="27">
        <v>9032</v>
      </c>
      <c r="G19" s="30">
        <v>0.18</v>
      </c>
      <c r="H19" s="31">
        <f t="shared" si="0"/>
        <v>39846.153846153851</v>
      </c>
      <c r="I19" s="31">
        <f t="shared" si="1"/>
        <v>7172.3076923076933</v>
      </c>
      <c r="J19" s="32">
        <f t="shared" si="2"/>
        <v>0</v>
      </c>
      <c r="K19" s="2">
        <v>384.61538461538464</v>
      </c>
      <c r="L19" s="2">
        <f t="shared" si="3"/>
        <v>384.61538461538464</v>
      </c>
      <c r="M19" s="2">
        <v>2500</v>
      </c>
      <c r="N19" s="2">
        <v>654</v>
      </c>
      <c r="O19" s="2">
        <f t="shared" si="4"/>
        <v>59677.5</v>
      </c>
      <c r="P19" s="35">
        <f t="shared" si="5"/>
        <v>33.230859459337523</v>
      </c>
    </row>
    <row r="20" spans="1:16" ht="39.9" customHeight="1" x14ac:dyDescent="0.3">
      <c r="A20" s="27">
        <v>18</v>
      </c>
      <c r="B20" s="34" t="s">
        <v>14</v>
      </c>
      <c r="C20" s="28" t="s">
        <v>50</v>
      </c>
      <c r="D20" s="27" t="s">
        <v>56</v>
      </c>
      <c r="E20" s="27">
        <v>2</v>
      </c>
      <c r="F20" s="27">
        <v>9032</v>
      </c>
      <c r="G20" s="30">
        <v>0.18</v>
      </c>
      <c r="H20" s="31">
        <f t="shared" si="0"/>
        <v>35064.615384615376</v>
      </c>
      <c r="I20" s="31">
        <f t="shared" si="1"/>
        <v>6311.6307692307673</v>
      </c>
      <c r="J20" s="32">
        <f t="shared" si="2"/>
        <v>82752.492307692286</v>
      </c>
      <c r="K20" s="2">
        <v>338.46153846153845</v>
      </c>
      <c r="L20" s="2">
        <f t="shared" si="3"/>
        <v>338.46153846153845</v>
      </c>
      <c r="M20" s="2">
        <v>2200</v>
      </c>
      <c r="N20" s="2">
        <v>624</v>
      </c>
      <c r="O20" s="2">
        <f t="shared" si="4"/>
        <v>56940</v>
      </c>
      <c r="P20" s="35">
        <f t="shared" si="5"/>
        <v>38.41830807057363</v>
      </c>
    </row>
    <row r="21" spans="1:16" ht="39.9" customHeight="1" x14ac:dyDescent="0.3">
      <c r="A21" s="27">
        <v>19</v>
      </c>
      <c r="B21" s="34" t="s">
        <v>14</v>
      </c>
      <c r="C21" s="28" t="s">
        <v>32</v>
      </c>
      <c r="D21" s="27" t="s">
        <v>56</v>
      </c>
      <c r="E21" s="27">
        <v>0</v>
      </c>
      <c r="F21" s="27">
        <v>9032</v>
      </c>
      <c r="G21" s="30">
        <v>0.18</v>
      </c>
      <c r="H21" s="31">
        <f t="shared" si="0"/>
        <v>28689.230769230766</v>
      </c>
      <c r="I21" s="31">
        <f t="shared" si="1"/>
        <v>5164.0615384615376</v>
      </c>
      <c r="J21" s="32">
        <f t="shared" si="2"/>
        <v>0</v>
      </c>
      <c r="K21" s="2">
        <v>276.92307692307691</v>
      </c>
      <c r="L21" s="2">
        <f t="shared" si="3"/>
        <v>276.92307692307691</v>
      </c>
      <c r="M21" s="2">
        <v>1800</v>
      </c>
      <c r="N21" s="2">
        <v>578</v>
      </c>
      <c r="O21" s="2">
        <f t="shared" si="4"/>
        <v>52742.5</v>
      </c>
      <c r="P21" s="35">
        <f t="shared" si="5"/>
        <v>45.605098792755818</v>
      </c>
    </row>
    <row r="22" spans="1:16" ht="39.9" customHeight="1" x14ac:dyDescent="0.3">
      <c r="A22" s="27">
        <v>20</v>
      </c>
      <c r="B22" s="34" t="s">
        <v>14</v>
      </c>
      <c r="C22" s="28" t="s">
        <v>48</v>
      </c>
      <c r="D22" s="27" t="s">
        <v>56</v>
      </c>
      <c r="E22" s="27">
        <v>2</v>
      </c>
      <c r="F22" s="27">
        <v>9032</v>
      </c>
      <c r="G22" s="30">
        <v>0.18</v>
      </c>
      <c r="H22" s="31">
        <f t="shared" si="0"/>
        <v>57378.461538461532</v>
      </c>
      <c r="I22" s="31">
        <f t="shared" si="1"/>
        <v>10328.123076923075</v>
      </c>
      <c r="J22" s="32">
        <f t="shared" si="2"/>
        <v>135413.16923076921</v>
      </c>
      <c r="K22" s="2">
        <v>553.84615384615381</v>
      </c>
      <c r="L22" s="2">
        <f t="shared" si="3"/>
        <v>553.84615384615381</v>
      </c>
      <c r="M22" s="2">
        <v>3600</v>
      </c>
      <c r="N22" s="2">
        <v>700</v>
      </c>
      <c r="O22" s="2">
        <f t="shared" si="4"/>
        <v>63875</v>
      </c>
      <c r="P22" s="35">
        <f t="shared" si="5"/>
        <v>10.170706006322455</v>
      </c>
    </row>
    <row r="23" spans="1:16" ht="39.9" customHeight="1" x14ac:dyDescent="0.3">
      <c r="A23" s="27">
        <v>21</v>
      </c>
      <c r="B23" s="34" t="s">
        <v>14</v>
      </c>
      <c r="C23" s="28" t="s">
        <v>33</v>
      </c>
      <c r="D23" s="27" t="s">
        <v>56</v>
      </c>
      <c r="E23" s="27">
        <v>2</v>
      </c>
      <c r="F23" s="27">
        <v>9032</v>
      </c>
      <c r="G23" s="30">
        <v>0.18</v>
      </c>
      <c r="H23" s="31">
        <f t="shared" si="0"/>
        <v>35064.615384615376</v>
      </c>
      <c r="I23" s="31">
        <f t="shared" si="1"/>
        <v>6311.6307692307673</v>
      </c>
      <c r="J23" s="32">
        <f t="shared" si="2"/>
        <v>82752.492307692286</v>
      </c>
      <c r="K23" s="2">
        <v>338.46153846153845</v>
      </c>
      <c r="L23" s="2">
        <f t="shared" si="3"/>
        <v>338.46153846153845</v>
      </c>
      <c r="M23" s="2">
        <v>2200</v>
      </c>
      <c r="N23" s="2">
        <v>488</v>
      </c>
      <c r="O23" s="2">
        <f t="shared" si="4"/>
        <v>44530</v>
      </c>
      <c r="P23" s="35">
        <f t="shared" si="5"/>
        <v>21.256197204995786</v>
      </c>
    </row>
    <row r="24" spans="1:16" ht="39.9" customHeight="1" x14ac:dyDescent="0.3">
      <c r="A24" s="27">
        <v>22</v>
      </c>
      <c r="B24" s="34" t="s">
        <v>14</v>
      </c>
      <c r="C24" s="28" t="s">
        <v>47</v>
      </c>
      <c r="D24" s="27" t="s">
        <v>56</v>
      </c>
      <c r="E24" s="27">
        <v>1</v>
      </c>
      <c r="F24" s="27">
        <v>9032</v>
      </c>
      <c r="G24" s="30">
        <v>0.18</v>
      </c>
      <c r="H24" s="31">
        <f t="shared" si="0"/>
        <v>71723.076923076907</v>
      </c>
      <c r="I24" s="31">
        <f t="shared" si="1"/>
        <v>12910.153846153842</v>
      </c>
      <c r="J24" s="32">
        <f t="shared" si="2"/>
        <v>84633.230769230751</v>
      </c>
      <c r="K24" s="2">
        <v>692.30769230769226</v>
      </c>
      <c r="L24" s="2">
        <f t="shared" si="3"/>
        <v>692.30769230769226</v>
      </c>
      <c r="M24" s="2">
        <v>4500</v>
      </c>
      <c r="N24" s="2">
        <v>836</v>
      </c>
      <c r="O24" s="2">
        <f t="shared" si="4"/>
        <v>76285</v>
      </c>
      <c r="P24" s="35">
        <f t="shared" si="5"/>
        <v>5.9801049707322438</v>
      </c>
    </row>
    <row r="25" spans="1:16" ht="39.9" customHeight="1" x14ac:dyDescent="0.3">
      <c r="A25" s="27">
        <v>23</v>
      </c>
      <c r="B25" s="34" t="s">
        <v>14</v>
      </c>
      <c r="C25" s="28" t="s">
        <v>34</v>
      </c>
      <c r="D25" s="27" t="s">
        <v>56</v>
      </c>
      <c r="E25" s="27">
        <v>1</v>
      </c>
      <c r="F25" s="27">
        <v>9032</v>
      </c>
      <c r="G25" s="30">
        <v>0.18</v>
      </c>
      <c r="H25" s="31">
        <f t="shared" si="0"/>
        <v>60566.153846153844</v>
      </c>
      <c r="I25" s="31">
        <f t="shared" si="1"/>
        <v>10901.907692307692</v>
      </c>
      <c r="J25" s="32">
        <f t="shared" si="2"/>
        <v>71468.061538461538</v>
      </c>
      <c r="K25" s="2">
        <v>584.61538461538464</v>
      </c>
      <c r="L25" s="2">
        <f t="shared" si="3"/>
        <v>584.61538461538464</v>
      </c>
      <c r="M25" s="2">
        <v>3800</v>
      </c>
      <c r="N25" s="2">
        <v>730</v>
      </c>
      <c r="O25" s="2">
        <f t="shared" si="4"/>
        <v>66612.5</v>
      </c>
      <c r="P25" s="35">
        <f t="shared" si="5"/>
        <v>9.0768942073126748</v>
      </c>
    </row>
    <row r="26" spans="1:16" ht="39.9" customHeight="1" x14ac:dyDescent="0.3">
      <c r="A26" s="27">
        <v>24</v>
      </c>
      <c r="B26" s="34" t="s">
        <v>14</v>
      </c>
      <c r="C26" s="28" t="s">
        <v>45</v>
      </c>
      <c r="D26" s="27" t="s">
        <v>56</v>
      </c>
      <c r="E26" s="27">
        <v>2</v>
      </c>
      <c r="F26" s="27">
        <v>9032</v>
      </c>
      <c r="G26" s="30">
        <v>0.18</v>
      </c>
      <c r="H26" s="31">
        <f t="shared" si="0"/>
        <v>286892.30769230763</v>
      </c>
      <c r="I26" s="31">
        <f t="shared" si="1"/>
        <v>51640.615384615368</v>
      </c>
      <c r="J26" s="32">
        <f t="shared" si="2"/>
        <v>677065.84615384601</v>
      </c>
      <c r="K26" s="2">
        <v>2769.2307692307691</v>
      </c>
      <c r="L26" s="2">
        <f t="shared" si="3"/>
        <v>2769.2307692307691</v>
      </c>
      <c r="M26" s="2">
        <v>18000</v>
      </c>
      <c r="N26" s="2">
        <v>4260</v>
      </c>
      <c r="O26" s="2">
        <f t="shared" si="4"/>
        <v>388725</v>
      </c>
      <c r="P26" s="35">
        <f t="shared" si="5"/>
        <v>26.196589441814233</v>
      </c>
    </row>
    <row r="27" spans="1:16" ht="39.9" customHeight="1" x14ac:dyDescent="0.3">
      <c r="A27" s="27">
        <v>25</v>
      </c>
      <c r="B27" s="34" t="s">
        <v>14</v>
      </c>
      <c r="C27" s="28" t="s">
        <v>35</v>
      </c>
      <c r="D27" s="27" t="s">
        <v>56</v>
      </c>
      <c r="E27" s="27">
        <v>4</v>
      </c>
      <c r="F27" s="27">
        <v>9032</v>
      </c>
      <c r="G27" s="30">
        <v>0.18</v>
      </c>
      <c r="H27" s="31">
        <f t="shared" si="0"/>
        <v>62159.999999999993</v>
      </c>
      <c r="I27" s="31">
        <f t="shared" si="1"/>
        <v>11188.799999999997</v>
      </c>
      <c r="J27" s="32">
        <f t="shared" si="2"/>
        <v>293395.19999999995</v>
      </c>
      <c r="K27" s="2">
        <v>600</v>
      </c>
      <c r="L27" s="2">
        <f t="shared" si="3"/>
        <v>600</v>
      </c>
      <c r="M27" s="2">
        <v>3900</v>
      </c>
      <c r="N27" s="2">
        <v>746</v>
      </c>
      <c r="O27" s="2">
        <f t="shared" si="4"/>
        <v>68072.5</v>
      </c>
      <c r="P27" s="35">
        <f t="shared" si="5"/>
        <v>8.6855925667486975</v>
      </c>
    </row>
    <row r="28" spans="1:16" ht="39.9" customHeight="1" x14ac:dyDescent="0.3">
      <c r="A28" s="27">
        <v>26</v>
      </c>
      <c r="B28" s="34" t="s">
        <v>14</v>
      </c>
      <c r="C28" s="28" t="s">
        <v>36</v>
      </c>
      <c r="D28" s="27" t="s">
        <v>56</v>
      </c>
      <c r="E28" s="27">
        <v>5</v>
      </c>
      <c r="F28" s="27">
        <v>9032</v>
      </c>
      <c r="G28" s="30">
        <v>0.18</v>
      </c>
      <c r="H28" s="31">
        <f t="shared" si="0"/>
        <v>35064.615384615376</v>
      </c>
      <c r="I28" s="31">
        <f t="shared" si="1"/>
        <v>6311.6307692307673</v>
      </c>
      <c r="J28" s="32">
        <f t="shared" si="2"/>
        <v>206881.23076923072</v>
      </c>
      <c r="K28" s="2">
        <v>338.46153846153845</v>
      </c>
      <c r="L28" s="2">
        <f t="shared" si="3"/>
        <v>338.46153846153845</v>
      </c>
      <c r="M28" s="2">
        <v>2200</v>
      </c>
      <c r="N28" s="2">
        <v>488</v>
      </c>
      <c r="O28" s="2">
        <f t="shared" si="4"/>
        <v>44530</v>
      </c>
      <c r="P28" s="35">
        <f t="shared" si="5"/>
        <v>21.256197204995786</v>
      </c>
    </row>
    <row r="29" spans="1:16" ht="39.9" customHeight="1" x14ac:dyDescent="0.3">
      <c r="A29" s="27">
        <v>27</v>
      </c>
      <c r="B29" s="34" t="s">
        <v>14</v>
      </c>
      <c r="C29" s="28" t="s">
        <v>37</v>
      </c>
      <c r="D29" s="27" t="s">
        <v>56</v>
      </c>
      <c r="E29" s="27">
        <v>0</v>
      </c>
      <c r="F29" s="27">
        <v>9032</v>
      </c>
      <c r="G29" s="30">
        <v>0.18</v>
      </c>
      <c r="H29" s="31">
        <f t="shared" si="0"/>
        <v>71723.076923076907</v>
      </c>
      <c r="I29" s="31">
        <f t="shared" si="1"/>
        <v>12910.153846153842</v>
      </c>
      <c r="J29" s="32">
        <f t="shared" si="2"/>
        <v>0</v>
      </c>
      <c r="K29" s="2">
        <v>692.30769230769226</v>
      </c>
      <c r="L29" s="2">
        <f t="shared" si="3"/>
        <v>692.30769230769226</v>
      </c>
      <c r="M29" s="2">
        <v>4500</v>
      </c>
      <c r="N29" s="2">
        <v>836</v>
      </c>
      <c r="O29" s="2">
        <f t="shared" si="4"/>
        <v>76285</v>
      </c>
      <c r="P29" s="35">
        <f t="shared" si="5"/>
        <v>5.9801049707322438</v>
      </c>
    </row>
    <row r="30" spans="1:16" ht="39.9" customHeight="1" x14ac:dyDescent="0.3">
      <c r="A30" s="27">
        <v>28</v>
      </c>
      <c r="B30" s="34" t="s">
        <v>14</v>
      </c>
      <c r="C30" s="28" t="s">
        <v>46</v>
      </c>
      <c r="D30" s="27" t="s">
        <v>56</v>
      </c>
      <c r="E30" s="27">
        <v>2</v>
      </c>
      <c r="F30" s="27">
        <v>9032</v>
      </c>
      <c r="G30" s="30">
        <v>0.18</v>
      </c>
      <c r="H30" s="31">
        <f t="shared" si="0"/>
        <v>28689.230769230766</v>
      </c>
      <c r="I30" s="31">
        <f t="shared" si="1"/>
        <v>5164.0615384615376</v>
      </c>
      <c r="J30" s="32">
        <f t="shared" si="2"/>
        <v>67706.584615384607</v>
      </c>
      <c r="K30" s="2">
        <v>276.92307692307691</v>
      </c>
      <c r="L30" s="2">
        <f t="shared" si="3"/>
        <v>276.92307692307691</v>
      </c>
      <c r="M30" s="2">
        <v>1800</v>
      </c>
      <c r="N30" s="2">
        <v>578</v>
      </c>
      <c r="O30" s="2">
        <f t="shared" si="4"/>
        <v>52742.5</v>
      </c>
      <c r="P30" s="35">
        <f t="shared" si="5"/>
        <v>45.605098792755818</v>
      </c>
    </row>
    <row r="31" spans="1:16" ht="39.9" customHeight="1" x14ac:dyDescent="0.3">
      <c r="A31" s="27">
        <v>29</v>
      </c>
      <c r="B31" s="34" t="s">
        <v>14</v>
      </c>
      <c r="C31" s="28" t="s">
        <v>44</v>
      </c>
      <c r="D31" s="27" t="s">
        <v>56</v>
      </c>
      <c r="E31" s="27">
        <v>2</v>
      </c>
      <c r="F31" s="27">
        <v>9032</v>
      </c>
      <c r="G31" s="30">
        <v>0.18</v>
      </c>
      <c r="H31" s="31">
        <f t="shared" si="0"/>
        <v>39846.153846153851</v>
      </c>
      <c r="I31" s="31">
        <f t="shared" si="1"/>
        <v>7172.3076923076933</v>
      </c>
      <c r="J31" s="32">
        <f t="shared" si="2"/>
        <v>94036.923076923093</v>
      </c>
      <c r="K31" s="2">
        <v>384.61538461538464</v>
      </c>
      <c r="L31" s="2">
        <f t="shared" si="3"/>
        <v>384.61538461538464</v>
      </c>
      <c r="M31" s="2">
        <v>2500</v>
      </c>
      <c r="N31" s="2">
        <v>533</v>
      </c>
      <c r="O31" s="2">
        <f t="shared" si="4"/>
        <v>48636.25</v>
      </c>
      <c r="P31" s="35">
        <f t="shared" si="5"/>
        <v>18.073137122714332</v>
      </c>
    </row>
    <row r="32" spans="1:16" ht="39.9" customHeight="1" x14ac:dyDescent="0.3">
      <c r="A32" s="27">
        <v>30</v>
      </c>
      <c r="B32" s="34" t="s">
        <v>14</v>
      </c>
      <c r="C32" s="28" t="s">
        <v>43</v>
      </c>
      <c r="D32" s="27" t="s">
        <v>56</v>
      </c>
      <c r="E32" s="27">
        <v>5</v>
      </c>
      <c r="F32" s="27">
        <v>9032</v>
      </c>
      <c r="G32" s="30">
        <v>0.18</v>
      </c>
      <c r="H32" s="31">
        <f t="shared" si="0"/>
        <v>28689.230769230766</v>
      </c>
      <c r="I32" s="31">
        <f t="shared" si="1"/>
        <v>5164.0615384615376</v>
      </c>
      <c r="J32" s="32">
        <f t="shared" si="2"/>
        <v>169266.4615384615</v>
      </c>
      <c r="K32" s="2">
        <v>276.92307692307691</v>
      </c>
      <c r="L32" s="2">
        <f t="shared" si="3"/>
        <v>276.92307692307691</v>
      </c>
      <c r="M32" s="2">
        <v>1800</v>
      </c>
      <c r="N32" s="2">
        <v>578</v>
      </c>
      <c r="O32" s="2">
        <f t="shared" si="4"/>
        <v>52742.5</v>
      </c>
      <c r="P32" s="35">
        <f t="shared" si="5"/>
        <v>45.605098792755818</v>
      </c>
    </row>
    <row r="33" spans="1:16" ht="39.9" customHeight="1" x14ac:dyDescent="0.3">
      <c r="A33" s="27">
        <v>31</v>
      </c>
      <c r="B33" s="34" t="s">
        <v>14</v>
      </c>
      <c r="C33" s="28" t="s">
        <v>42</v>
      </c>
      <c r="D33" s="27" t="s">
        <v>56</v>
      </c>
      <c r="E33" s="27">
        <v>0</v>
      </c>
      <c r="F33" s="27">
        <v>9032</v>
      </c>
      <c r="G33" s="30">
        <v>0.18</v>
      </c>
      <c r="H33" s="31">
        <f t="shared" si="0"/>
        <v>23907.692307692309</v>
      </c>
      <c r="I33" s="31">
        <f t="shared" si="1"/>
        <v>4303.3846153846152</v>
      </c>
      <c r="J33" s="32">
        <f t="shared" si="2"/>
        <v>0</v>
      </c>
      <c r="K33" s="2">
        <v>230.76923076923077</v>
      </c>
      <c r="L33" s="2">
        <f t="shared" si="3"/>
        <v>230.76923076923077</v>
      </c>
      <c r="M33" s="2">
        <v>1500</v>
      </c>
      <c r="N33" s="2">
        <v>533</v>
      </c>
      <c r="O33" s="2">
        <f t="shared" si="4"/>
        <v>48636.25</v>
      </c>
      <c r="P33" s="35">
        <f t="shared" si="5"/>
        <v>50.843882273628601</v>
      </c>
    </row>
    <row r="34" spans="1:16" ht="39.9" customHeight="1" x14ac:dyDescent="0.3">
      <c r="A34" s="27">
        <v>32</v>
      </c>
      <c r="B34" s="34" t="s">
        <v>14</v>
      </c>
      <c r="C34" s="28" t="s">
        <v>38</v>
      </c>
      <c r="D34" s="27" t="s">
        <v>56</v>
      </c>
      <c r="E34" s="27">
        <v>5</v>
      </c>
      <c r="F34" s="27">
        <v>9032</v>
      </c>
      <c r="G34" s="30">
        <v>0.18</v>
      </c>
      <c r="H34" s="31">
        <f t="shared" si="0"/>
        <v>4662</v>
      </c>
      <c r="I34" s="31">
        <f t="shared" si="1"/>
        <v>839.16</v>
      </c>
      <c r="J34" s="32">
        <f t="shared" si="2"/>
        <v>27505.8</v>
      </c>
      <c r="K34" s="2">
        <v>45</v>
      </c>
      <c r="L34" s="2">
        <v>45</v>
      </c>
      <c r="M34" s="2" t="s">
        <v>53</v>
      </c>
      <c r="N34" s="2"/>
      <c r="O34" s="2">
        <f t="shared" si="4"/>
        <v>0</v>
      </c>
      <c r="P34" s="35" t="e">
        <f t="shared" si="5"/>
        <v>#DIV/0!</v>
      </c>
    </row>
    <row r="35" spans="1:16" ht="39.9" customHeight="1" x14ac:dyDescent="0.3">
      <c r="A35" s="27">
        <v>33</v>
      </c>
      <c r="B35" s="34" t="s">
        <v>14</v>
      </c>
      <c r="C35" s="28" t="s">
        <v>39</v>
      </c>
      <c r="D35" s="27" t="s">
        <v>56</v>
      </c>
      <c r="E35" s="27">
        <v>5</v>
      </c>
      <c r="F35" s="27">
        <v>9032</v>
      </c>
      <c r="G35" s="30">
        <v>0.18</v>
      </c>
      <c r="H35" s="31">
        <f t="shared" si="0"/>
        <v>6734</v>
      </c>
      <c r="I35" s="31">
        <f t="shared" si="1"/>
        <v>1212.1199999999999</v>
      </c>
      <c r="J35" s="32">
        <f t="shared" si="2"/>
        <v>39730.6</v>
      </c>
      <c r="K35" s="2">
        <v>65</v>
      </c>
      <c r="L35" s="2">
        <v>65</v>
      </c>
      <c r="M35" s="2" t="s">
        <v>53</v>
      </c>
      <c r="N35" s="2"/>
      <c r="O35" s="2">
        <f t="shared" si="4"/>
        <v>0</v>
      </c>
      <c r="P35" s="35" t="e">
        <f t="shared" si="5"/>
        <v>#DIV/0!</v>
      </c>
    </row>
    <row r="36" spans="1:16" ht="39.9" customHeight="1" x14ac:dyDescent="0.3">
      <c r="A36" s="27">
        <v>34</v>
      </c>
      <c r="B36" s="34" t="s">
        <v>14</v>
      </c>
      <c r="C36" s="28" t="s">
        <v>40</v>
      </c>
      <c r="D36" s="27" t="s">
        <v>56</v>
      </c>
      <c r="E36" s="27">
        <v>1</v>
      </c>
      <c r="F36" s="27">
        <v>9032</v>
      </c>
      <c r="G36" s="30">
        <v>0.18</v>
      </c>
      <c r="H36" s="33" t="s">
        <v>54</v>
      </c>
      <c r="I36" s="31">
        <v>0</v>
      </c>
      <c r="J36" s="32">
        <v>0</v>
      </c>
      <c r="K36" s="2">
        <v>450</v>
      </c>
      <c r="L36" s="2">
        <v>450</v>
      </c>
      <c r="M36" s="2"/>
      <c r="N36" s="2"/>
      <c r="O36" s="2">
        <f t="shared" si="4"/>
        <v>0</v>
      </c>
      <c r="P36" s="35" t="e">
        <f t="shared" si="5"/>
        <v>#VALUE!</v>
      </c>
    </row>
    <row r="37" spans="1:16" ht="39.9" customHeight="1" x14ac:dyDescent="0.3">
      <c r="A37" s="27">
        <v>35</v>
      </c>
      <c r="B37" s="34" t="s">
        <v>14</v>
      </c>
      <c r="C37" s="28" t="s">
        <v>58</v>
      </c>
      <c r="D37" s="27" t="s">
        <v>56</v>
      </c>
      <c r="E37" s="27">
        <v>3</v>
      </c>
      <c r="F37" s="27">
        <v>9032</v>
      </c>
      <c r="G37" s="30">
        <v>0.18</v>
      </c>
      <c r="H37" s="31">
        <f>L37*74*1.4</f>
        <v>0</v>
      </c>
      <c r="I37" s="31">
        <f t="shared" ref="I37" si="6">H37*G37</f>
        <v>0</v>
      </c>
      <c r="J37" s="32">
        <f t="shared" ref="J37" si="7">(H37+I37)*E37</f>
        <v>0</v>
      </c>
      <c r="K37" s="2"/>
      <c r="L37" s="2"/>
      <c r="M37" s="2"/>
      <c r="N37" s="2"/>
      <c r="O37" s="2">
        <f t="shared" si="4"/>
        <v>0</v>
      </c>
      <c r="P37" s="35" t="e">
        <f t="shared" si="5"/>
        <v>#DIV/0!</v>
      </c>
    </row>
    <row r="38" spans="1:16" ht="39.9" customHeight="1" x14ac:dyDescent="0.3">
      <c r="A38" s="27">
        <v>36</v>
      </c>
      <c r="B38" s="34" t="s">
        <v>14</v>
      </c>
      <c r="C38" s="28" t="s">
        <v>59</v>
      </c>
      <c r="D38" s="27" t="s">
        <v>56</v>
      </c>
      <c r="E38" s="27">
        <v>10</v>
      </c>
      <c r="F38" s="27">
        <v>9032</v>
      </c>
      <c r="G38" s="30">
        <v>0.18</v>
      </c>
      <c r="H38" s="33" t="s">
        <v>54</v>
      </c>
      <c r="I38" s="31">
        <v>0</v>
      </c>
      <c r="J38" s="32">
        <v>0</v>
      </c>
      <c r="K38" s="2"/>
      <c r="L38" s="2"/>
      <c r="M38" s="2"/>
      <c r="N38" s="2"/>
      <c r="O38" s="2">
        <f t="shared" si="4"/>
        <v>0</v>
      </c>
      <c r="P38" s="35" t="e">
        <f t="shared" si="5"/>
        <v>#VALUE!</v>
      </c>
    </row>
    <row r="39" spans="1:16" ht="39.9" customHeight="1" x14ac:dyDescent="0.3">
      <c r="A39" s="27">
        <v>37</v>
      </c>
      <c r="B39" s="34" t="s">
        <v>14</v>
      </c>
      <c r="C39" s="28" t="s">
        <v>41</v>
      </c>
      <c r="D39" s="27" t="s">
        <v>56</v>
      </c>
      <c r="E39" s="27">
        <v>10</v>
      </c>
      <c r="F39" s="27">
        <v>9032</v>
      </c>
      <c r="G39" s="30">
        <v>0.18</v>
      </c>
      <c r="H39" s="31">
        <f>L39*74*1.4</f>
        <v>8288</v>
      </c>
      <c r="I39" s="31">
        <f t="shared" si="1"/>
        <v>1491.84</v>
      </c>
      <c r="J39" s="32">
        <f t="shared" si="2"/>
        <v>97798.399999999994</v>
      </c>
      <c r="K39" s="2">
        <v>80</v>
      </c>
      <c r="L39" s="2">
        <v>80</v>
      </c>
      <c r="M39" s="2" t="s">
        <v>55</v>
      </c>
      <c r="N39" s="2"/>
      <c r="O39" s="2">
        <f t="shared" si="4"/>
        <v>0</v>
      </c>
      <c r="P39" s="35" t="e">
        <f t="shared" si="5"/>
        <v>#DIV/0!</v>
      </c>
    </row>
    <row r="40" spans="1:16" ht="14.4" thickBot="1" x14ac:dyDescent="0.35">
      <c r="A40" s="8">
        <v>38</v>
      </c>
      <c r="B40" s="214" t="s">
        <v>9</v>
      </c>
      <c r="C40" s="214"/>
      <c r="D40" s="214"/>
      <c r="E40" s="214"/>
      <c r="F40" s="214"/>
      <c r="G40" s="214"/>
      <c r="H40" s="214"/>
      <c r="I40" s="215">
        <f>SUM(J3:J39)</f>
        <v>5630460.769230769</v>
      </c>
      <c r="J40" s="215"/>
      <c r="K40" s="1"/>
      <c r="L40" s="1"/>
      <c r="M40" s="1"/>
      <c r="N40" s="1"/>
      <c r="O40" s="1"/>
      <c r="P40" s="9"/>
    </row>
    <row r="41" spans="1:16" x14ac:dyDescent="0.3">
      <c r="A41" s="10" t="s">
        <v>10</v>
      </c>
      <c r="B41" s="216" t="s">
        <v>11</v>
      </c>
      <c r="C41" s="216"/>
      <c r="D41" s="216"/>
      <c r="E41" s="216"/>
      <c r="F41" s="216"/>
      <c r="G41" s="216"/>
      <c r="H41" s="216"/>
      <c r="I41" s="216"/>
      <c r="J41" s="217"/>
      <c r="K41" s="11"/>
      <c r="L41" s="1"/>
      <c r="M41" s="1"/>
      <c r="N41" s="1"/>
      <c r="O41" s="1"/>
      <c r="P41" s="9"/>
    </row>
    <row r="42" spans="1:16" s="9" customFormat="1" x14ac:dyDescent="0.3">
      <c r="A42" s="218" t="s">
        <v>12</v>
      </c>
      <c r="B42" s="219"/>
      <c r="C42" s="219"/>
      <c r="D42" s="219"/>
      <c r="E42" s="219"/>
      <c r="F42" s="219"/>
      <c r="G42" s="219"/>
      <c r="H42" s="219"/>
      <c r="I42" s="219"/>
      <c r="J42" s="220"/>
      <c r="K42" s="16"/>
      <c r="L42" s="29"/>
      <c r="M42" s="17"/>
      <c r="N42" s="2"/>
    </row>
    <row r="43" spans="1:16" s="9" customFormat="1" ht="118.8" x14ac:dyDescent="0.3">
      <c r="A43" s="18" t="s">
        <v>13</v>
      </c>
      <c r="B43" s="209" t="s">
        <v>57</v>
      </c>
      <c r="C43" s="209"/>
      <c r="D43" s="209"/>
      <c r="E43" s="209"/>
      <c r="F43" s="209"/>
      <c r="G43" s="209"/>
      <c r="H43" s="209"/>
      <c r="I43" s="209"/>
      <c r="J43" s="210"/>
      <c r="K43" s="12"/>
      <c r="L43" s="12"/>
      <c r="N43" s="2"/>
    </row>
  </sheetData>
  <mergeCells count="6">
    <mergeCell ref="B43:J43"/>
    <mergeCell ref="A1:E1"/>
    <mergeCell ref="B40:H40"/>
    <mergeCell ref="I40:J40"/>
    <mergeCell ref="B41:J41"/>
    <mergeCell ref="A42:J42"/>
  </mergeCells>
  <hyperlinks>
    <hyperlink ref="B42" r:id="rId1" display="CST@2%" xr:uid="{00000000-0004-0000-0000-000000000000}"/>
    <hyperlink ref="I2" r:id="rId2" xr:uid="{00000000-0004-0000-0000-000001000000}"/>
  </hyperlinks>
  <pageMargins left="0.25" right="0.25" top="0.75" bottom="0.75" header="0.3" footer="0.3"/>
  <pageSetup orientation="landscape" horizontalDpi="4294967292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topLeftCell="A26" workbookViewId="0">
      <selection activeCell="A2" sqref="A2:J34"/>
    </sheetView>
  </sheetViews>
  <sheetFormatPr defaultColWidth="9.109375" defaultRowHeight="13.8" x14ac:dyDescent="0.3"/>
  <cols>
    <col min="1" max="1" width="6.109375" style="13" customWidth="1"/>
    <col min="2" max="2" width="11.6640625" style="6" customWidth="1"/>
    <col min="3" max="3" width="45" style="6" customWidth="1"/>
    <col min="4" max="4" width="5.88671875" style="14" bestFit="1" customWidth="1"/>
    <col min="5" max="5" width="5.33203125" style="7" customWidth="1"/>
    <col min="6" max="6" width="9" style="14" bestFit="1" customWidth="1"/>
    <col min="7" max="7" width="8.5546875" style="7" customWidth="1"/>
    <col min="8" max="8" width="13.33203125" style="7" customWidth="1"/>
    <col min="9" max="9" width="9.6640625" style="7" bestFit="1" customWidth="1"/>
    <col min="10" max="10" width="12.44140625" style="7" bestFit="1" customWidth="1"/>
    <col min="11" max="11" width="11" style="15" bestFit="1" customWidth="1"/>
    <col min="12" max="12" width="12.44140625" style="15" bestFit="1" customWidth="1"/>
    <col min="13" max="13" width="13.44140625" style="15" hidden="1" customWidth="1"/>
    <col min="14" max="14" width="9.109375" style="15"/>
    <col min="15" max="15" width="11" style="15" bestFit="1" customWidth="1"/>
    <col min="16" max="16384" width="9.109375" style="7"/>
  </cols>
  <sheetData>
    <row r="1" spans="1:16" s="5" customFormat="1" ht="13.5" customHeight="1" thickBot="1" x14ac:dyDescent="0.35">
      <c r="A1" s="211"/>
      <c r="B1" s="212"/>
      <c r="C1" s="212"/>
      <c r="D1" s="212"/>
      <c r="E1" s="213"/>
      <c r="F1" s="19"/>
      <c r="G1" s="20"/>
      <c r="H1" s="20"/>
      <c r="I1" s="20"/>
      <c r="J1" s="21"/>
      <c r="K1" s="2"/>
      <c r="L1" s="1"/>
      <c r="M1" s="3"/>
      <c r="N1" s="3"/>
      <c r="O1" s="3"/>
      <c r="P1" s="4"/>
    </row>
    <row r="2" spans="1:16" s="26" customFormat="1" x14ac:dyDescent="0.3">
      <c r="A2" s="22" t="s">
        <v>0</v>
      </c>
      <c r="B2" s="23" t="s">
        <v>15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2" t="s">
        <v>8</v>
      </c>
      <c r="K2" s="24" t="s">
        <v>61</v>
      </c>
      <c r="L2" s="24" t="s">
        <v>51</v>
      </c>
      <c r="M2" s="24" t="s">
        <v>52</v>
      </c>
      <c r="N2" s="24" t="s">
        <v>60</v>
      </c>
      <c r="O2" s="24"/>
      <c r="P2" s="25"/>
    </row>
    <row r="3" spans="1:16" ht="39.9" customHeight="1" x14ac:dyDescent="0.3">
      <c r="A3" s="27">
        <v>1</v>
      </c>
      <c r="B3" s="34" t="s">
        <v>14</v>
      </c>
      <c r="C3" s="28" t="s">
        <v>16</v>
      </c>
      <c r="D3" s="27" t="s">
        <v>56</v>
      </c>
      <c r="E3" s="27">
        <v>7</v>
      </c>
      <c r="F3" s="27">
        <v>9032</v>
      </c>
      <c r="G3" s="30">
        <v>0.18</v>
      </c>
      <c r="H3" s="31">
        <f>L3*74*1.4</f>
        <v>267766.15384615381</v>
      </c>
      <c r="I3" s="31">
        <f>H3*G3</f>
        <v>48197.907692307686</v>
      </c>
      <c r="J3" s="32">
        <f>(H3+I3)*E3</f>
        <v>2211748.4307692302</v>
      </c>
      <c r="K3" s="2">
        <v>2584.6153846153848</v>
      </c>
      <c r="L3" s="24">
        <f>M3/6.5</f>
        <v>2584.6153846153848</v>
      </c>
      <c r="M3" s="2">
        <v>16800</v>
      </c>
      <c r="N3" s="2">
        <v>3013</v>
      </c>
      <c r="O3" s="2">
        <f>N3*73*1.25</f>
        <v>274936.25</v>
      </c>
      <c r="P3" s="35">
        <f>(O3-H3)/O3%</f>
        <v>2.6079122537847175</v>
      </c>
    </row>
    <row r="4" spans="1:16" ht="39.9" customHeight="1" x14ac:dyDescent="0.3">
      <c r="A4" s="27">
        <v>2</v>
      </c>
      <c r="B4" s="34" t="s">
        <v>14</v>
      </c>
      <c r="C4" s="28" t="s">
        <v>17</v>
      </c>
      <c r="D4" s="27" t="s">
        <v>56</v>
      </c>
      <c r="E4" s="27">
        <v>1</v>
      </c>
      <c r="F4" s="27">
        <v>9032</v>
      </c>
      <c r="G4" s="30">
        <v>0.18</v>
      </c>
      <c r="H4" s="31">
        <f t="shared" ref="H4:H26" si="0">L4*74*1.4</f>
        <v>47815.384615384617</v>
      </c>
      <c r="I4" s="31">
        <f t="shared" ref="I4:I30" si="1">H4*G4</f>
        <v>8606.7692307692305</v>
      </c>
      <c r="J4" s="32">
        <f t="shared" ref="J4:J30" si="2">(H4+I4)*E4</f>
        <v>56422.153846153844</v>
      </c>
      <c r="K4" s="2">
        <v>461.53846153846155</v>
      </c>
      <c r="L4" s="2">
        <f t="shared" ref="L4:L24" si="3">M4/6.5</f>
        <v>461.53846153846155</v>
      </c>
      <c r="M4" s="2">
        <v>3000</v>
      </c>
      <c r="N4" s="2">
        <v>768</v>
      </c>
      <c r="O4" s="2">
        <f t="shared" ref="O4:O30" si="4">N4*73*1.25</f>
        <v>70080</v>
      </c>
      <c r="P4" s="35">
        <f t="shared" ref="P4:P30" si="5">(O4-H4)/O4%</f>
        <v>31.770284510010537</v>
      </c>
    </row>
    <row r="5" spans="1:16" ht="39.9" customHeight="1" x14ac:dyDescent="0.3">
      <c r="A5" s="27">
        <v>3</v>
      </c>
      <c r="B5" s="34" t="s">
        <v>14</v>
      </c>
      <c r="C5" s="28" t="s">
        <v>19</v>
      </c>
      <c r="D5" s="27" t="s">
        <v>56</v>
      </c>
      <c r="E5" s="27">
        <v>1</v>
      </c>
      <c r="F5" s="27">
        <v>9032</v>
      </c>
      <c r="G5" s="30">
        <v>0.18</v>
      </c>
      <c r="H5" s="31">
        <f t="shared" si="0"/>
        <v>82880</v>
      </c>
      <c r="I5" s="31">
        <f t="shared" si="1"/>
        <v>14918.4</v>
      </c>
      <c r="J5" s="32">
        <f t="shared" si="2"/>
        <v>97798.399999999994</v>
      </c>
      <c r="K5" s="2">
        <v>800</v>
      </c>
      <c r="L5" s="2">
        <f t="shared" si="3"/>
        <v>800</v>
      </c>
      <c r="M5" s="2">
        <v>5200</v>
      </c>
      <c r="N5" s="2">
        <v>1095</v>
      </c>
      <c r="O5" s="2">
        <f t="shared" si="4"/>
        <v>99918.75</v>
      </c>
      <c r="P5" s="35">
        <f t="shared" si="5"/>
        <v>17.052605241758929</v>
      </c>
    </row>
    <row r="6" spans="1:16" ht="39.9" customHeight="1" x14ac:dyDescent="0.3">
      <c r="A6" s="27">
        <v>4</v>
      </c>
      <c r="B6" s="34" t="s">
        <v>14</v>
      </c>
      <c r="C6" s="28" t="s">
        <v>20</v>
      </c>
      <c r="D6" s="27" t="s">
        <v>56</v>
      </c>
      <c r="E6" s="27">
        <v>1</v>
      </c>
      <c r="F6" s="27">
        <v>9032</v>
      </c>
      <c r="G6" s="30">
        <v>0.18</v>
      </c>
      <c r="H6" s="31">
        <f t="shared" si="0"/>
        <v>55784.615384615376</v>
      </c>
      <c r="I6" s="31">
        <f t="shared" si="1"/>
        <v>10041.230769230768</v>
      </c>
      <c r="J6" s="32">
        <f t="shared" si="2"/>
        <v>65825.846153846142</v>
      </c>
      <c r="K6" s="2">
        <v>538.46153846153845</v>
      </c>
      <c r="L6" s="2">
        <f t="shared" si="3"/>
        <v>538.46153846153845</v>
      </c>
      <c r="M6" s="2">
        <v>3500</v>
      </c>
      <c r="N6" s="2">
        <v>836</v>
      </c>
      <c r="O6" s="2">
        <f t="shared" si="4"/>
        <v>76285</v>
      </c>
      <c r="P6" s="35">
        <f t="shared" si="5"/>
        <v>26.873414977236184</v>
      </c>
    </row>
    <row r="7" spans="1:16" ht="39.9" customHeight="1" x14ac:dyDescent="0.3">
      <c r="A7" s="27">
        <v>5</v>
      </c>
      <c r="B7" s="34" t="s">
        <v>14</v>
      </c>
      <c r="C7" s="28" t="s">
        <v>21</v>
      </c>
      <c r="D7" s="27" t="s">
        <v>56</v>
      </c>
      <c r="E7" s="27">
        <v>1</v>
      </c>
      <c r="F7" s="27">
        <v>9032</v>
      </c>
      <c r="G7" s="30">
        <v>0.18</v>
      </c>
      <c r="H7" s="31">
        <f t="shared" si="0"/>
        <v>103600</v>
      </c>
      <c r="I7" s="31">
        <f t="shared" si="1"/>
        <v>18648</v>
      </c>
      <c r="J7" s="32">
        <f t="shared" si="2"/>
        <v>122248</v>
      </c>
      <c r="K7" s="2">
        <v>1000</v>
      </c>
      <c r="L7" s="2">
        <f t="shared" si="3"/>
        <v>1000</v>
      </c>
      <c r="M7" s="2">
        <v>6500</v>
      </c>
      <c r="N7" s="2">
        <v>1141</v>
      </c>
      <c r="O7" s="2">
        <f t="shared" si="4"/>
        <v>104116.25</v>
      </c>
      <c r="P7" s="35">
        <f t="shared" si="5"/>
        <v>0.49583998655349193</v>
      </c>
    </row>
    <row r="8" spans="1:16" ht="39.9" customHeight="1" x14ac:dyDescent="0.3">
      <c r="A8" s="27">
        <v>6</v>
      </c>
      <c r="B8" s="34" t="s">
        <v>14</v>
      </c>
      <c r="C8" s="28" t="s">
        <v>22</v>
      </c>
      <c r="D8" s="27" t="s">
        <v>56</v>
      </c>
      <c r="E8" s="27">
        <v>4</v>
      </c>
      <c r="F8" s="27">
        <v>9032</v>
      </c>
      <c r="G8" s="30">
        <v>0.18</v>
      </c>
      <c r="H8" s="31">
        <f t="shared" si="0"/>
        <v>39846.153846153851</v>
      </c>
      <c r="I8" s="31">
        <f t="shared" si="1"/>
        <v>7172.3076923076933</v>
      </c>
      <c r="J8" s="32">
        <f t="shared" si="2"/>
        <v>188073.84615384619</v>
      </c>
      <c r="K8" s="2">
        <v>384.61538461538464</v>
      </c>
      <c r="L8" s="2">
        <f t="shared" si="3"/>
        <v>384.61538461538464</v>
      </c>
      <c r="M8" s="2">
        <v>2500</v>
      </c>
      <c r="N8" s="2">
        <v>685</v>
      </c>
      <c r="O8" s="2">
        <f t="shared" si="4"/>
        <v>62506.25</v>
      </c>
      <c r="P8" s="35">
        <f t="shared" si="5"/>
        <v>36.252528593294507</v>
      </c>
    </row>
    <row r="9" spans="1:16" ht="39.9" customHeight="1" x14ac:dyDescent="0.3">
      <c r="A9" s="27">
        <v>7</v>
      </c>
      <c r="B9" s="34" t="s">
        <v>14</v>
      </c>
      <c r="C9" s="28" t="s">
        <v>24</v>
      </c>
      <c r="D9" s="27" t="s">
        <v>56</v>
      </c>
      <c r="E9" s="27">
        <v>5</v>
      </c>
      <c r="F9" s="27">
        <v>9032</v>
      </c>
      <c r="G9" s="30">
        <v>0.18</v>
      </c>
      <c r="H9" s="36">
        <f t="shared" ref="H9:H15" si="6">N9*73*1.3</f>
        <v>73642.400000000009</v>
      </c>
      <c r="I9" s="31">
        <f t="shared" si="1"/>
        <v>13255.632000000001</v>
      </c>
      <c r="J9" s="32">
        <f t="shared" si="2"/>
        <v>434490.16000000003</v>
      </c>
      <c r="K9" s="2">
        <v>323.07692307692309</v>
      </c>
      <c r="L9" s="2">
        <f t="shared" si="3"/>
        <v>323.07692307692309</v>
      </c>
      <c r="M9" s="2">
        <v>2100</v>
      </c>
      <c r="N9" s="2">
        <v>776</v>
      </c>
      <c r="O9" s="2">
        <f t="shared" si="4"/>
        <v>70810</v>
      </c>
      <c r="P9" s="35">
        <f t="shared" si="5"/>
        <v>-4.0000000000000124</v>
      </c>
    </row>
    <row r="10" spans="1:16" ht="39.9" customHeight="1" x14ac:dyDescent="0.3">
      <c r="A10" s="27">
        <v>8</v>
      </c>
      <c r="B10" s="34" t="s">
        <v>14</v>
      </c>
      <c r="C10" s="28" t="s">
        <v>26</v>
      </c>
      <c r="D10" s="27" t="s">
        <v>56</v>
      </c>
      <c r="E10" s="27">
        <v>2</v>
      </c>
      <c r="F10" s="27">
        <v>9032</v>
      </c>
      <c r="G10" s="30">
        <v>0.18</v>
      </c>
      <c r="H10" s="36">
        <f t="shared" si="6"/>
        <v>65006.5</v>
      </c>
      <c r="I10" s="31">
        <f t="shared" si="1"/>
        <v>11701.17</v>
      </c>
      <c r="J10" s="32">
        <f t="shared" si="2"/>
        <v>153415.34</v>
      </c>
      <c r="K10" s="2">
        <v>338.46153846153845</v>
      </c>
      <c r="L10" s="2">
        <f t="shared" si="3"/>
        <v>338.46153846153845</v>
      </c>
      <c r="M10" s="2">
        <v>2200</v>
      </c>
      <c r="N10" s="2">
        <v>685</v>
      </c>
      <c r="O10" s="2">
        <f t="shared" si="4"/>
        <v>62506.25</v>
      </c>
      <c r="P10" s="35">
        <f t="shared" si="5"/>
        <v>-4</v>
      </c>
    </row>
    <row r="11" spans="1:16" ht="39.9" customHeight="1" x14ac:dyDescent="0.3">
      <c r="A11" s="27">
        <v>9</v>
      </c>
      <c r="B11" s="34" t="s">
        <v>14</v>
      </c>
      <c r="C11" s="28" t="s">
        <v>28</v>
      </c>
      <c r="D11" s="27" t="s">
        <v>56</v>
      </c>
      <c r="E11" s="27">
        <v>4</v>
      </c>
      <c r="F11" s="27">
        <v>9032</v>
      </c>
      <c r="G11" s="30">
        <v>0.18</v>
      </c>
      <c r="H11" s="36">
        <f t="shared" si="6"/>
        <v>66430</v>
      </c>
      <c r="I11" s="31">
        <f t="shared" si="1"/>
        <v>11957.4</v>
      </c>
      <c r="J11" s="32">
        <f t="shared" si="2"/>
        <v>313549.59999999998</v>
      </c>
      <c r="K11" s="2">
        <v>384.61538461538464</v>
      </c>
      <c r="L11" s="2">
        <f t="shared" si="3"/>
        <v>384.61538461538464</v>
      </c>
      <c r="M11" s="2">
        <v>2500</v>
      </c>
      <c r="N11" s="2">
        <v>700</v>
      </c>
      <c r="O11" s="2">
        <f t="shared" si="4"/>
        <v>63875</v>
      </c>
      <c r="P11" s="35">
        <f t="shared" si="5"/>
        <v>-4</v>
      </c>
    </row>
    <row r="12" spans="1:16" ht="39.9" customHeight="1" x14ac:dyDescent="0.3">
      <c r="A12" s="27">
        <v>10</v>
      </c>
      <c r="B12" s="34" t="s">
        <v>14</v>
      </c>
      <c r="C12" s="28" t="s">
        <v>30</v>
      </c>
      <c r="D12" s="27" t="s">
        <v>56</v>
      </c>
      <c r="E12" s="27">
        <v>3</v>
      </c>
      <c r="F12" s="27">
        <v>9032</v>
      </c>
      <c r="G12" s="30">
        <v>0.18</v>
      </c>
      <c r="H12" s="36">
        <f t="shared" si="6"/>
        <v>69277</v>
      </c>
      <c r="I12" s="31">
        <f t="shared" si="1"/>
        <v>12469.859999999999</v>
      </c>
      <c r="J12" s="32">
        <f t="shared" si="2"/>
        <v>245240.58000000002</v>
      </c>
      <c r="K12" s="2">
        <v>430.76923076923077</v>
      </c>
      <c r="L12" s="2">
        <f t="shared" si="3"/>
        <v>430.76923076923077</v>
      </c>
      <c r="M12" s="2">
        <v>2800</v>
      </c>
      <c r="N12" s="2">
        <v>730</v>
      </c>
      <c r="O12" s="2">
        <f t="shared" si="4"/>
        <v>66612.5</v>
      </c>
      <c r="P12" s="35">
        <f t="shared" si="5"/>
        <v>-4</v>
      </c>
    </row>
    <row r="13" spans="1:16" ht="39.9" customHeight="1" x14ac:dyDescent="0.3">
      <c r="A13" s="27">
        <v>11</v>
      </c>
      <c r="B13" s="34" t="s">
        <v>14</v>
      </c>
      <c r="C13" s="28" t="s">
        <v>49</v>
      </c>
      <c r="D13" s="27" t="s">
        <v>56</v>
      </c>
      <c r="E13" s="27">
        <v>2</v>
      </c>
      <c r="F13" s="27">
        <v>9032</v>
      </c>
      <c r="G13" s="30">
        <v>0.18</v>
      </c>
      <c r="H13" s="36">
        <f t="shared" si="6"/>
        <v>79336.400000000009</v>
      </c>
      <c r="I13" s="31">
        <f t="shared" si="1"/>
        <v>14280.552000000001</v>
      </c>
      <c r="J13" s="32">
        <f t="shared" si="2"/>
        <v>187233.90400000001</v>
      </c>
      <c r="K13" s="2">
        <v>538.46153846153845</v>
      </c>
      <c r="L13" s="2">
        <f t="shared" si="3"/>
        <v>538.46153846153845</v>
      </c>
      <c r="M13" s="2">
        <v>3500</v>
      </c>
      <c r="N13" s="2">
        <v>836</v>
      </c>
      <c r="O13" s="2">
        <f t="shared" si="4"/>
        <v>76285</v>
      </c>
      <c r="P13" s="35">
        <f t="shared" si="5"/>
        <v>-4.0000000000000115</v>
      </c>
    </row>
    <row r="14" spans="1:16" ht="39.9" customHeight="1" x14ac:dyDescent="0.3">
      <c r="A14" s="27">
        <v>12</v>
      </c>
      <c r="B14" s="34" t="s">
        <v>14</v>
      </c>
      <c r="C14" s="28" t="s">
        <v>50</v>
      </c>
      <c r="D14" s="27" t="s">
        <v>56</v>
      </c>
      <c r="E14" s="27">
        <v>2</v>
      </c>
      <c r="F14" s="27">
        <v>9032</v>
      </c>
      <c r="G14" s="30">
        <v>0.18</v>
      </c>
      <c r="H14" s="36">
        <f t="shared" si="6"/>
        <v>59217.599999999999</v>
      </c>
      <c r="I14" s="31">
        <f t="shared" si="1"/>
        <v>10659.168</v>
      </c>
      <c r="J14" s="32">
        <f t="shared" si="2"/>
        <v>139753.53599999999</v>
      </c>
      <c r="K14" s="2">
        <v>338.46153846153845</v>
      </c>
      <c r="L14" s="2">
        <f t="shared" si="3"/>
        <v>338.46153846153845</v>
      </c>
      <c r="M14" s="2">
        <v>2200</v>
      </c>
      <c r="N14" s="2">
        <v>624</v>
      </c>
      <c r="O14" s="2">
        <f t="shared" si="4"/>
        <v>56940</v>
      </c>
      <c r="P14" s="35">
        <f t="shared" si="5"/>
        <v>-3.9999999999999978</v>
      </c>
    </row>
    <row r="15" spans="1:16" ht="39.9" customHeight="1" x14ac:dyDescent="0.3">
      <c r="A15" s="27">
        <v>13</v>
      </c>
      <c r="B15" s="34" t="s">
        <v>14</v>
      </c>
      <c r="C15" s="28" t="s">
        <v>48</v>
      </c>
      <c r="D15" s="27" t="s">
        <v>56</v>
      </c>
      <c r="E15" s="27">
        <v>2</v>
      </c>
      <c r="F15" s="27">
        <v>9032</v>
      </c>
      <c r="G15" s="30">
        <v>0.18</v>
      </c>
      <c r="H15" s="36">
        <f t="shared" si="6"/>
        <v>66430</v>
      </c>
      <c r="I15" s="31">
        <f t="shared" si="1"/>
        <v>11957.4</v>
      </c>
      <c r="J15" s="32">
        <f t="shared" si="2"/>
        <v>156774.79999999999</v>
      </c>
      <c r="K15" s="2">
        <v>553.84615384615381</v>
      </c>
      <c r="L15" s="2">
        <f t="shared" si="3"/>
        <v>553.84615384615381</v>
      </c>
      <c r="M15" s="2">
        <v>3600</v>
      </c>
      <c r="N15" s="2">
        <v>700</v>
      </c>
      <c r="O15" s="2">
        <f t="shared" si="4"/>
        <v>63875</v>
      </c>
      <c r="P15" s="35">
        <f t="shared" si="5"/>
        <v>-4</v>
      </c>
    </row>
    <row r="16" spans="1:16" ht="39.9" customHeight="1" x14ac:dyDescent="0.3">
      <c r="A16" s="27">
        <v>14</v>
      </c>
      <c r="B16" s="34" t="s">
        <v>14</v>
      </c>
      <c r="C16" s="28" t="s">
        <v>33</v>
      </c>
      <c r="D16" s="27" t="s">
        <v>56</v>
      </c>
      <c r="E16" s="27">
        <v>2</v>
      </c>
      <c r="F16" s="27">
        <v>9032</v>
      </c>
      <c r="G16" s="30">
        <v>0.18</v>
      </c>
      <c r="H16" s="31">
        <f t="shared" si="0"/>
        <v>35064.615384615376</v>
      </c>
      <c r="I16" s="31">
        <f t="shared" si="1"/>
        <v>6311.6307692307673</v>
      </c>
      <c r="J16" s="32">
        <f t="shared" si="2"/>
        <v>82752.492307692286</v>
      </c>
      <c r="K16" s="2">
        <v>338.46153846153845</v>
      </c>
      <c r="L16" s="2">
        <f t="shared" si="3"/>
        <v>338.46153846153845</v>
      </c>
      <c r="M16" s="2">
        <v>2200</v>
      </c>
      <c r="N16" s="2">
        <v>488</v>
      </c>
      <c r="O16" s="2">
        <f t="shared" si="4"/>
        <v>44530</v>
      </c>
      <c r="P16" s="35">
        <f t="shared" si="5"/>
        <v>21.256197204995786</v>
      </c>
    </row>
    <row r="17" spans="1:16" ht="39.9" customHeight="1" x14ac:dyDescent="0.3">
      <c r="A17" s="27">
        <v>15</v>
      </c>
      <c r="B17" s="34" t="s">
        <v>14</v>
      </c>
      <c r="C17" s="28" t="s">
        <v>47</v>
      </c>
      <c r="D17" s="27" t="s">
        <v>56</v>
      </c>
      <c r="E17" s="27">
        <v>1</v>
      </c>
      <c r="F17" s="27">
        <v>9032</v>
      </c>
      <c r="G17" s="30">
        <v>0.18</v>
      </c>
      <c r="H17" s="31">
        <f t="shared" si="0"/>
        <v>71723.076923076907</v>
      </c>
      <c r="I17" s="31">
        <f t="shared" si="1"/>
        <v>12910.153846153842</v>
      </c>
      <c r="J17" s="32">
        <f t="shared" si="2"/>
        <v>84633.230769230751</v>
      </c>
      <c r="K17" s="2">
        <v>692.30769230769226</v>
      </c>
      <c r="L17" s="2">
        <f t="shared" si="3"/>
        <v>692.30769230769226</v>
      </c>
      <c r="M17" s="2">
        <v>4500</v>
      </c>
      <c r="N17" s="2">
        <v>836</v>
      </c>
      <c r="O17" s="2">
        <f t="shared" si="4"/>
        <v>76285</v>
      </c>
      <c r="P17" s="35">
        <f t="shared" si="5"/>
        <v>5.9801049707322438</v>
      </c>
    </row>
    <row r="18" spans="1:16" ht="39.9" customHeight="1" x14ac:dyDescent="0.3">
      <c r="A18" s="27">
        <v>16</v>
      </c>
      <c r="B18" s="34" t="s">
        <v>14</v>
      </c>
      <c r="C18" s="28" t="s">
        <v>34</v>
      </c>
      <c r="D18" s="27" t="s">
        <v>56</v>
      </c>
      <c r="E18" s="27">
        <v>1</v>
      </c>
      <c r="F18" s="27">
        <v>9032</v>
      </c>
      <c r="G18" s="30">
        <v>0.18</v>
      </c>
      <c r="H18" s="31">
        <f t="shared" si="0"/>
        <v>60566.153846153844</v>
      </c>
      <c r="I18" s="31">
        <f t="shared" si="1"/>
        <v>10901.907692307692</v>
      </c>
      <c r="J18" s="32">
        <f t="shared" si="2"/>
        <v>71468.061538461538</v>
      </c>
      <c r="K18" s="2">
        <v>584.61538461538464</v>
      </c>
      <c r="L18" s="2">
        <f t="shared" si="3"/>
        <v>584.61538461538464</v>
      </c>
      <c r="M18" s="2">
        <v>3800</v>
      </c>
      <c r="N18" s="2">
        <v>730</v>
      </c>
      <c r="O18" s="2">
        <f t="shared" si="4"/>
        <v>66612.5</v>
      </c>
      <c r="P18" s="35">
        <f t="shared" si="5"/>
        <v>9.0768942073126748</v>
      </c>
    </row>
    <row r="19" spans="1:16" ht="39.9" customHeight="1" x14ac:dyDescent="0.3">
      <c r="A19" s="27">
        <v>17</v>
      </c>
      <c r="B19" s="34" t="s">
        <v>14</v>
      </c>
      <c r="C19" s="28" t="s">
        <v>45</v>
      </c>
      <c r="D19" s="27" t="s">
        <v>56</v>
      </c>
      <c r="E19" s="27">
        <v>2</v>
      </c>
      <c r="F19" s="27">
        <v>9032</v>
      </c>
      <c r="G19" s="30">
        <v>0.18</v>
      </c>
      <c r="H19" s="31">
        <f t="shared" si="0"/>
        <v>286892.30769230763</v>
      </c>
      <c r="I19" s="31">
        <f t="shared" si="1"/>
        <v>51640.615384615368</v>
      </c>
      <c r="J19" s="32">
        <f t="shared" si="2"/>
        <v>677065.84615384601</v>
      </c>
      <c r="K19" s="2">
        <v>2769.2307692307691</v>
      </c>
      <c r="L19" s="2">
        <f t="shared" si="3"/>
        <v>2769.2307692307691</v>
      </c>
      <c r="M19" s="2">
        <v>18000</v>
      </c>
      <c r="N19" s="2">
        <v>4260</v>
      </c>
      <c r="O19" s="2">
        <f t="shared" si="4"/>
        <v>388725</v>
      </c>
      <c r="P19" s="35">
        <f t="shared" si="5"/>
        <v>26.196589441814233</v>
      </c>
    </row>
    <row r="20" spans="1:16" ht="39.9" customHeight="1" x14ac:dyDescent="0.3">
      <c r="A20" s="27">
        <v>18</v>
      </c>
      <c r="B20" s="34" t="s">
        <v>14</v>
      </c>
      <c r="C20" s="28" t="s">
        <v>35</v>
      </c>
      <c r="D20" s="27" t="s">
        <v>56</v>
      </c>
      <c r="E20" s="27">
        <v>4</v>
      </c>
      <c r="F20" s="27">
        <v>9032</v>
      </c>
      <c r="G20" s="30">
        <v>0.18</v>
      </c>
      <c r="H20" s="31">
        <f t="shared" si="0"/>
        <v>62159.999999999993</v>
      </c>
      <c r="I20" s="31">
        <f t="shared" si="1"/>
        <v>11188.799999999997</v>
      </c>
      <c r="J20" s="32">
        <f t="shared" si="2"/>
        <v>293395.19999999995</v>
      </c>
      <c r="K20" s="2">
        <v>600</v>
      </c>
      <c r="L20" s="2">
        <f t="shared" si="3"/>
        <v>600</v>
      </c>
      <c r="M20" s="2">
        <v>3900</v>
      </c>
      <c r="N20" s="2">
        <v>746</v>
      </c>
      <c r="O20" s="2">
        <f t="shared" si="4"/>
        <v>68072.5</v>
      </c>
      <c r="P20" s="35">
        <f t="shared" si="5"/>
        <v>8.6855925667486975</v>
      </c>
    </row>
    <row r="21" spans="1:16" ht="39.9" customHeight="1" x14ac:dyDescent="0.3">
      <c r="A21" s="27">
        <v>19</v>
      </c>
      <c r="B21" s="34" t="s">
        <v>14</v>
      </c>
      <c r="C21" s="28" t="s">
        <v>36</v>
      </c>
      <c r="D21" s="27" t="s">
        <v>56</v>
      </c>
      <c r="E21" s="27">
        <v>5</v>
      </c>
      <c r="F21" s="27">
        <v>9032</v>
      </c>
      <c r="G21" s="30">
        <v>0.18</v>
      </c>
      <c r="H21" s="31">
        <f t="shared" si="0"/>
        <v>35064.615384615376</v>
      </c>
      <c r="I21" s="31">
        <f t="shared" si="1"/>
        <v>6311.6307692307673</v>
      </c>
      <c r="J21" s="32">
        <f t="shared" si="2"/>
        <v>206881.23076923072</v>
      </c>
      <c r="K21" s="2">
        <v>338.46153846153845</v>
      </c>
      <c r="L21" s="2">
        <f t="shared" si="3"/>
        <v>338.46153846153845</v>
      </c>
      <c r="M21" s="2">
        <v>2200</v>
      </c>
      <c r="N21" s="2">
        <v>488</v>
      </c>
      <c r="O21" s="2">
        <f t="shared" si="4"/>
        <v>44530</v>
      </c>
      <c r="P21" s="35">
        <f t="shared" si="5"/>
        <v>21.256197204995786</v>
      </c>
    </row>
    <row r="22" spans="1:16" ht="39.9" customHeight="1" x14ac:dyDescent="0.3">
      <c r="A22" s="27">
        <v>20</v>
      </c>
      <c r="B22" s="34" t="s">
        <v>14</v>
      </c>
      <c r="C22" s="28" t="s">
        <v>46</v>
      </c>
      <c r="D22" s="27" t="s">
        <v>56</v>
      </c>
      <c r="E22" s="27">
        <v>2</v>
      </c>
      <c r="F22" s="27">
        <v>9032</v>
      </c>
      <c r="G22" s="30">
        <v>0.18</v>
      </c>
      <c r="H22" s="31">
        <f t="shared" si="0"/>
        <v>28689.230769230766</v>
      </c>
      <c r="I22" s="31">
        <f t="shared" si="1"/>
        <v>5164.0615384615376</v>
      </c>
      <c r="J22" s="32">
        <f t="shared" si="2"/>
        <v>67706.584615384607</v>
      </c>
      <c r="K22" s="2">
        <v>276.92307692307691</v>
      </c>
      <c r="L22" s="2">
        <f t="shared" si="3"/>
        <v>276.92307692307691</v>
      </c>
      <c r="M22" s="2">
        <v>1800</v>
      </c>
      <c r="N22" s="2">
        <v>578</v>
      </c>
      <c r="O22" s="2">
        <f t="shared" si="4"/>
        <v>52742.5</v>
      </c>
      <c r="P22" s="35">
        <f t="shared" si="5"/>
        <v>45.605098792755818</v>
      </c>
    </row>
    <row r="23" spans="1:16" ht="39.9" customHeight="1" x14ac:dyDescent="0.3">
      <c r="A23" s="27">
        <v>21</v>
      </c>
      <c r="B23" s="34" t="s">
        <v>14</v>
      </c>
      <c r="C23" s="28" t="s">
        <v>44</v>
      </c>
      <c r="D23" s="27" t="s">
        <v>56</v>
      </c>
      <c r="E23" s="27">
        <v>2</v>
      </c>
      <c r="F23" s="27">
        <v>9032</v>
      </c>
      <c r="G23" s="30">
        <v>0.18</v>
      </c>
      <c r="H23" s="31">
        <f t="shared" si="0"/>
        <v>39846.153846153851</v>
      </c>
      <c r="I23" s="31">
        <f t="shared" si="1"/>
        <v>7172.3076923076933</v>
      </c>
      <c r="J23" s="32">
        <f t="shared" si="2"/>
        <v>94036.923076923093</v>
      </c>
      <c r="K23" s="2">
        <v>384.61538461538464</v>
      </c>
      <c r="L23" s="2">
        <f t="shared" si="3"/>
        <v>384.61538461538464</v>
      </c>
      <c r="M23" s="2">
        <v>2500</v>
      </c>
      <c r="N23" s="2">
        <v>533</v>
      </c>
      <c r="O23" s="2">
        <f t="shared" si="4"/>
        <v>48636.25</v>
      </c>
      <c r="P23" s="35">
        <f t="shared" si="5"/>
        <v>18.073137122714332</v>
      </c>
    </row>
    <row r="24" spans="1:16" ht="39.9" customHeight="1" x14ac:dyDescent="0.3">
      <c r="A24" s="27">
        <v>22</v>
      </c>
      <c r="B24" s="34" t="s">
        <v>14</v>
      </c>
      <c r="C24" s="28" t="s">
        <v>43</v>
      </c>
      <c r="D24" s="27" t="s">
        <v>56</v>
      </c>
      <c r="E24" s="27">
        <v>5</v>
      </c>
      <c r="F24" s="27">
        <v>9032</v>
      </c>
      <c r="G24" s="30">
        <v>0.18</v>
      </c>
      <c r="H24" s="31">
        <f t="shared" si="0"/>
        <v>28689.230769230766</v>
      </c>
      <c r="I24" s="31">
        <f t="shared" si="1"/>
        <v>5164.0615384615376</v>
      </c>
      <c r="J24" s="32">
        <f t="shared" si="2"/>
        <v>169266.4615384615</v>
      </c>
      <c r="K24" s="2">
        <v>276.92307692307691</v>
      </c>
      <c r="L24" s="2">
        <f t="shared" si="3"/>
        <v>276.92307692307691</v>
      </c>
      <c r="M24" s="2">
        <v>1800</v>
      </c>
      <c r="N24" s="2">
        <v>578</v>
      </c>
      <c r="O24" s="2">
        <f t="shared" si="4"/>
        <v>52742.5</v>
      </c>
      <c r="P24" s="35">
        <f t="shared" si="5"/>
        <v>45.605098792755818</v>
      </c>
    </row>
    <row r="25" spans="1:16" ht="39.9" customHeight="1" x14ac:dyDescent="0.3">
      <c r="A25" s="27">
        <v>23</v>
      </c>
      <c r="B25" s="34" t="s">
        <v>14</v>
      </c>
      <c r="C25" s="28" t="s">
        <v>38</v>
      </c>
      <c r="D25" s="27" t="s">
        <v>56</v>
      </c>
      <c r="E25" s="27">
        <v>5</v>
      </c>
      <c r="F25" s="27">
        <v>9032</v>
      </c>
      <c r="G25" s="30">
        <v>0.18</v>
      </c>
      <c r="H25" s="31">
        <f t="shared" si="0"/>
        <v>4662</v>
      </c>
      <c r="I25" s="31">
        <f t="shared" si="1"/>
        <v>839.16</v>
      </c>
      <c r="J25" s="32">
        <f t="shared" si="2"/>
        <v>27505.8</v>
      </c>
      <c r="K25" s="2">
        <v>45</v>
      </c>
      <c r="L25" s="2">
        <v>45</v>
      </c>
      <c r="M25" s="2" t="s">
        <v>53</v>
      </c>
      <c r="N25" s="2"/>
      <c r="O25" s="2">
        <f t="shared" si="4"/>
        <v>0</v>
      </c>
      <c r="P25" s="35" t="e">
        <f t="shared" si="5"/>
        <v>#DIV/0!</v>
      </c>
    </row>
    <row r="26" spans="1:16" ht="39.9" customHeight="1" x14ac:dyDescent="0.3">
      <c r="A26" s="27">
        <v>24</v>
      </c>
      <c r="B26" s="34" t="s">
        <v>14</v>
      </c>
      <c r="C26" s="28" t="s">
        <v>39</v>
      </c>
      <c r="D26" s="27" t="s">
        <v>56</v>
      </c>
      <c r="E26" s="27">
        <v>5</v>
      </c>
      <c r="F26" s="27">
        <v>9032</v>
      </c>
      <c r="G26" s="30">
        <v>0.18</v>
      </c>
      <c r="H26" s="31">
        <f t="shared" si="0"/>
        <v>6734</v>
      </c>
      <c r="I26" s="31">
        <f t="shared" si="1"/>
        <v>1212.1199999999999</v>
      </c>
      <c r="J26" s="32">
        <f t="shared" si="2"/>
        <v>39730.6</v>
      </c>
      <c r="K26" s="2">
        <v>65</v>
      </c>
      <c r="L26" s="2">
        <v>65</v>
      </c>
      <c r="M26" s="2" t="s">
        <v>53</v>
      </c>
      <c r="N26" s="2"/>
      <c r="O26" s="2">
        <f t="shared" si="4"/>
        <v>0</v>
      </c>
      <c r="P26" s="35" t="e">
        <f t="shared" si="5"/>
        <v>#DIV/0!</v>
      </c>
    </row>
    <row r="27" spans="1:16" ht="39.9" customHeight="1" x14ac:dyDescent="0.3">
      <c r="A27" s="27">
        <v>25</v>
      </c>
      <c r="B27" s="34" t="s">
        <v>14</v>
      </c>
      <c r="C27" s="28" t="s">
        <v>40</v>
      </c>
      <c r="D27" s="27" t="s">
        <v>56</v>
      </c>
      <c r="E27" s="27">
        <v>1</v>
      </c>
      <c r="F27" s="27">
        <v>9032</v>
      </c>
      <c r="G27" s="30">
        <v>0.18</v>
      </c>
      <c r="H27" s="31">
        <f t="shared" ref="H27" si="7">L27*74*1.4</f>
        <v>46620</v>
      </c>
      <c r="I27" s="31">
        <f t="shared" ref="I27" si="8">H27*G27</f>
        <v>8391.6</v>
      </c>
      <c r="J27" s="32">
        <f t="shared" ref="J27" si="9">(H27+I27)*E27</f>
        <v>55011.6</v>
      </c>
      <c r="K27" s="2">
        <v>4245</v>
      </c>
      <c r="L27" s="2">
        <v>450</v>
      </c>
      <c r="M27" s="2"/>
      <c r="N27" s="2"/>
      <c r="O27" s="2">
        <f t="shared" si="4"/>
        <v>0</v>
      </c>
      <c r="P27" s="35" t="e">
        <f t="shared" si="5"/>
        <v>#DIV/0!</v>
      </c>
    </row>
    <row r="28" spans="1:16" ht="39.9" customHeight="1" x14ac:dyDescent="0.3">
      <c r="A28" s="27">
        <v>26</v>
      </c>
      <c r="B28" s="34" t="s">
        <v>14</v>
      </c>
      <c r="C28" s="28" t="s">
        <v>58</v>
      </c>
      <c r="D28" s="27" t="s">
        <v>56</v>
      </c>
      <c r="E28" s="27">
        <v>3</v>
      </c>
      <c r="F28" s="27">
        <v>9032</v>
      </c>
      <c r="G28" s="30">
        <v>0.18</v>
      </c>
      <c r="H28" s="33" t="s">
        <v>62</v>
      </c>
      <c r="I28" s="31">
        <v>0</v>
      </c>
      <c r="J28" s="32">
        <v>0</v>
      </c>
      <c r="K28" s="2"/>
      <c r="L28" s="2"/>
      <c r="M28" s="2"/>
      <c r="N28" s="2"/>
      <c r="O28" s="2">
        <f t="shared" si="4"/>
        <v>0</v>
      </c>
      <c r="P28" s="35" t="e">
        <f t="shared" si="5"/>
        <v>#VALUE!</v>
      </c>
    </row>
    <row r="29" spans="1:16" ht="39.9" customHeight="1" x14ac:dyDescent="0.3">
      <c r="A29" s="27">
        <v>27</v>
      </c>
      <c r="B29" s="34" t="s">
        <v>14</v>
      </c>
      <c r="C29" s="28" t="s">
        <v>59</v>
      </c>
      <c r="D29" s="27" t="s">
        <v>56</v>
      </c>
      <c r="E29" s="27">
        <v>10</v>
      </c>
      <c r="F29" s="27">
        <v>9032</v>
      </c>
      <c r="G29" s="30">
        <v>0.18</v>
      </c>
      <c r="H29" s="33">
        <v>11950</v>
      </c>
      <c r="I29" s="31">
        <f t="shared" ref="I29" si="10">H29*G29</f>
        <v>2151</v>
      </c>
      <c r="J29" s="32">
        <f t="shared" ref="J29" si="11">(H29+I29)*E29</f>
        <v>141010</v>
      </c>
      <c r="K29" s="2"/>
      <c r="L29" s="2"/>
      <c r="M29" s="2"/>
      <c r="N29" s="2"/>
      <c r="O29" s="2">
        <f t="shared" si="4"/>
        <v>0</v>
      </c>
      <c r="P29" s="35" t="e">
        <f t="shared" si="5"/>
        <v>#DIV/0!</v>
      </c>
    </row>
    <row r="30" spans="1:16" ht="39.9" customHeight="1" x14ac:dyDescent="0.3">
      <c r="A30" s="27">
        <v>28</v>
      </c>
      <c r="B30" s="34" t="s">
        <v>14</v>
      </c>
      <c r="C30" s="28" t="s">
        <v>41</v>
      </c>
      <c r="D30" s="27" t="s">
        <v>56</v>
      </c>
      <c r="E30" s="27">
        <v>10</v>
      </c>
      <c r="F30" s="27">
        <v>9032</v>
      </c>
      <c r="G30" s="30">
        <v>0.18</v>
      </c>
      <c r="H30" s="31">
        <f>L30*74*1.4</f>
        <v>8288</v>
      </c>
      <c r="I30" s="31">
        <f t="shared" si="1"/>
        <v>1491.84</v>
      </c>
      <c r="J30" s="32">
        <f t="shared" si="2"/>
        <v>97798.399999999994</v>
      </c>
      <c r="K30" s="2">
        <v>80</v>
      </c>
      <c r="L30" s="2">
        <v>80</v>
      </c>
      <c r="M30" s="2" t="s">
        <v>55</v>
      </c>
      <c r="N30" s="2"/>
      <c r="O30" s="2">
        <f t="shared" si="4"/>
        <v>0</v>
      </c>
      <c r="P30" s="35" t="e">
        <f t="shared" si="5"/>
        <v>#DIV/0!</v>
      </c>
    </row>
    <row r="31" spans="1:16" ht="14.4" thickBot="1" x14ac:dyDescent="0.35">
      <c r="A31" s="8">
        <v>29</v>
      </c>
      <c r="B31" s="214" t="s">
        <v>9</v>
      </c>
      <c r="C31" s="214"/>
      <c r="D31" s="214"/>
      <c r="E31" s="214"/>
      <c r="F31" s="214"/>
      <c r="G31" s="214"/>
      <c r="H31" s="214"/>
      <c r="I31" s="215">
        <f>SUM(J3:J30)</f>
        <v>6480837.0276923059</v>
      </c>
      <c r="J31" s="215"/>
      <c r="K31" s="1"/>
      <c r="L31" s="1"/>
      <c r="M31" s="1"/>
      <c r="N31" s="1"/>
      <c r="O31" s="1"/>
      <c r="P31" s="9"/>
    </row>
    <row r="32" spans="1:16" x14ac:dyDescent="0.3">
      <c r="A32" s="10" t="s">
        <v>10</v>
      </c>
      <c r="B32" s="216" t="s">
        <v>11</v>
      </c>
      <c r="C32" s="216"/>
      <c r="D32" s="216"/>
      <c r="E32" s="216"/>
      <c r="F32" s="216"/>
      <c r="G32" s="216"/>
      <c r="H32" s="216"/>
      <c r="I32" s="216"/>
      <c r="J32" s="217"/>
      <c r="K32" s="11"/>
      <c r="L32" s="1"/>
      <c r="M32" s="1"/>
      <c r="N32" s="1"/>
      <c r="O32" s="1"/>
      <c r="P32" s="9"/>
    </row>
    <row r="33" spans="1:14" s="9" customFormat="1" x14ac:dyDescent="0.3">
      <c r="A33" s="218" t="s">
        <v>12</v>
      </c>
      <c r="B33" s="219"/>
      <c r="C33" s="219"/>
      <c r="D33" s="219"/>
      <c r="E33" s="219"/>
      <c r="F33" s="219"/>
      <c r="G33" s="219"/>
      <c r="H33" s="219"/>
      <c r="I33" s="219"/>
      <c r="J33" s="220"/>
      <c r="K33" s="16"/>
      <c r="L33" s="29"/>
      <c r="M33" s="17"/>
      <c r="N33" s="2"/>
    </row>
    <row r="34" spans="1:14" s="9" customFormat="1" ht="118.8" x14ac:dyDescent="0.3">
      <c r="A34" s="18" t="s">
        <v>13</v>
      </c>
      <c r="B34" s="209" t="s">
        <v>57</v>
      </c>
      <c r="C34" s="209"/>
      <c r="D34" s="209"/>
      <c r="E34" s="209"/>
      <c r="F34" s="209"/>
      <c r="G34" s="209"/>
      <c r="H34" s="209"/>
      <c r="I34" s="209"/>
      <c r="J34" s="210"/>
      <c r="K34" s="12"/>
      <c r="L34" s="12"/>
      <c r="N34" s="2"/>
    </row>
  </sheetData>
  <mergeCells count="6">
    <mergeCell ref="B34:J34"/>
    <mergeCell ref="A1:E1"/>
    <mergeCell ref="B31:H31"/>
    <mergeCell ref="I31:J31"/>
    <mergeCell ref="B32:J32"/>
    <mergeCell ref="A33:J33"/>
  </mergeCells>
  <hyperlinks>
    <hyperlink ref="B33" r:id="rId1" display="CST@2%" xr:uid="{00000000-0004-0000-0100-000000000000}"/>
    <hyperlink ref="I2" r:id="rId2" xr:uid="{00000000-0004-0000-0100-000001000000}"/>
  </hyperlinks>
  <pageMargins left="0.25" right="0.25" top="0.75" bottom="0.75" header="0.3" footer="0.3"/>
  <pageSetup orientation="landscape" horizontalDpi="4294967292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topLeftCell="A3" workbookViewId="0">
      <selection activeCell="F8" sqref="F3:F8"/>
    </sheetView>
  </sheetViews>
  <sheetFormatPr defaultColWidth="9.109375" defaultRowHeight="13.8" x14ac:dyDescent="0.3"/>
  <cols>
    <col min="1" max="1" width="6.109375" style="13" customWidth="1"/>
    <col min="2" max="2" width="11.6640625" style="6" customWidth="1"/>
    <col min="3" max="3" width="45" style="6" customWidth="1"/>
    <col min="4" max="4" width="5.88671875" style="14" bestFit="1" customWidth="1"/>
    <col min="5" max="5" width="5.33203125" style="7" customWidth="1"/>
    <col min="6" max="6" width="9" style="14" bestFit="1" customWidth="1"/>
    <col min="7" max="7" width="8.5546875" style="7" customWidth="1"/>
    <col min="8" max="8" width="13.33203125" style="7" customWidth="1"/>
    <col min="9" max="9" width="9.6640625" style="7" bestFit="1" customWidth="1"/>
    <col min="10" max="10" width="12.44140625" style="7" bestFit="1" customWidth="1"/>
    <col min="11" max="11" width="11" style="15" bestFit="1" customWidth="1"/>
    <col min="12" max="12" width="9.109375" style="15"/>
    <col min="13" max="13" width="11" style="15" bestFit="1" customWidth="1"/>
    <col min="14" max="16384" width="9.109375" style="7"/>
  </cols>
  <sheetData>
    <row r="1" spans="1:12" s="5" customFormat="1" ht="13.5" customHeight="1" thickBot="1" x14ac:dyDescent="0.35">
      <c r="A1" s="211"/>
      <c r="B1" s="212"/>
      <c r="C1" s="212"/>
      <c r="D1" s="212"/>
      <c r="E1" s="213"/>
      <c r="F1" s="19"/>
      <c r="G1" s="20"/>
      <c r="H1" s="20"/>
      <c r="I1" s="20"/>
      <c r="J1" s="21"/>
      <c r="K1" s="2"/>
      <c r="L1" s="3"/>
    </row>
    <row r="2" spans="1:12" s="26" customFormat="1" x14ac:dyDescent="0.3">
      <c r="A2" s="22" t="s">
        <v>0</v>
      </c>
      <c r="B2" s="23" t="s">
        <v>15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2" t="s">
        <v>8</v>
      </c>
      <c r="K2" s="24" t="s">
        <v>61</v>
      </c>
      <c r="L2" s="24" t="s">
        <v>60</v>
      </c>
    </row>
    <row r="3" spans="1:12" ht="24" x14ac:dyDescent="0.3">
      <c r="A3" s="27">
        <v>1</v>
      </c>
      <c r="B3" s="37" t="s">
        <v>72</v>
      </c>
      <c r="C3" s="28" t="s">
        <v>63</v>
      </c>
      <c r="D3" s="27" t="s">
        <v>56</v>
      </c>
      <c r="E3" s="27">
        <v>1</v>
      </c>
      <c r="F3" s="27">
        <v>8501</v>
      </c>
      <c r="G3" s="30">
        <v>0.18</v>
      </c>
      <c r="H3" s="31" t="s">
        <v>70</v>
      </c>
      <c r="I3" s="31">
        <v>0</v>
      </c>
      <c r="J3" s="32" t="s">
        <v>71</v>
      </c>
      <c r="K3" s="2"/>
    </row>
    <row r="4" spans="1:12" ht="39.9" customHeight="1" x14ac:dyDescent="0.3">
      <c r="A4" s="27">
        <v>2</v>
      </c>
      <c r="B4" s="37" t="s">
        <v>72</v>
      </c>
      <c r="C4" s="28" t="s">
        <v>64</v>
      </c>
      <c r="D4" s="27" t="s">
        <v>56</v>
      </c>
      <c r="E4" s="27">
        <v>1</v>
      </c>
      <c r="F4" s="27">
        <v>8501</v>
      </c>
      <c r="G4" s="30">
        <v>0.18</v>
      </c>
      <c r="H4" s="31">
        <f t="shared" ref="H4:H6" si="0">K4*74*1.4</f>
        <v>228002.88</v>
      </c>
      <c r="I4" s="31">
        <f t="shared" ref="I4:I6" si="1">H4*G4</f>
        <v>41040.518400000001</v>
      </c>
      <c r="J4" s="32">
        <f t="shared" ref="J4:J6" si="2">(H4+I4)*E4</f>
        <v>269043.39840000001</v>
      </c>
      <c r="K4" s="2">
        <f>L4*1.05</f>
        <v>2200.8000000000002</v>
      </c>
      <c r="L4" s="2">
        <v>2096</v>
      </c>
    </row>
    <row r="5" spans="1:12" ht="39.9" customHeight="1" x14ac:dyDescent="0.3">
      <c r="A5" s="27">
        <v>3</v>
      </c>
      <c r="B5" s="37" t="s">
        <v>72</v>
      </c>
      <c r="C5" s="28" t="s">
        <v>65</v>
      </c>
      <c r="D5" s="27" t="s">
        <v>56</v>
      </c>
      <c r="E5" s="27">
        <v>1</v>
      </c>
      <c r="F5" s="27">
        <v>8501</v>
      </c>
      <c r="G5" s="30">
        <v>0.18</v>
      </c>
      <c r="H5" s="31">
        <f t="shared" si="0"/>
        <v>16368.8</v>
      </c>
      <c r="I5" s="31">
        <f t="shared" si="1"/>
        <v>2946.3839999999996</v>
      </c>
      <c r="J5" s="32">
        <f t="shared" si="2"/>
        <v>19315.183999999997</v>
      </c>
      <c r="K5" s="2">
        <v>158</v>
      </c>
      <c r="L5" s="2">
        <v>128</v>
      </c>
    </row>
    <row r="6" spans="1:12" ht="39.9" customHeight="1" x14ac:dyDescent="0.3">
      <c r="A6" s="27">
        <v>4</v>
      </c>
      <c r="B6" s="37" t="s">
        <v>72</v>
      </c>
      <c r="C6" s="28" t="s">
        <v>66</v>
      </c>
      <c r="D6" s="27" t="s">
        <v>56</v>
      </c>
      <c r="E6" s="27">
        <v>1</v>
      </c>
      <c r="F6" s="27">
        <v>8501</v>
      </c>
      <c r="G6" s="30">
        <v>0.18</v>
      </c>
      <c r="H6" s="31">
        <f t="shared" si="0"/>
        <v>432944.39999999997</v>
      </c>
      <c r="I6" s="31">
        <f t="shared" si="1"/>
        <v>77929.991999999984</v>
      </c>
      <c r="J6" s="32">
        <f t="shared" si="2"/>
        <v>510874.39199999993</v>
      </c>
      <c r="K6" s="2">
        <f t="shared" ref="K6" si="3">L6*1.05</f>
        <v>4179</v>
      </c>
      <c r="L6" s="2">
        <v>3980</v>
      </c>
    </row>
    <row r="7" spans="1:12" ht="69" x14ac:dyDescent="0.3">
      <c r="A7" s="27">
        <v>5</v>
      </c>
      <c r="B7" s="37" t="s">
        <v>72</v>
      </c>
      <c r="C7" s="28" t="s">
        <v>67</v>
      </c>
      <c r="D7" s="27" t="s">
        <v>56</v>
      </c>
      <c r="E7" s="27">
        <v>1</v>
      </c>
      <c r="F7" s="27">
        <v>8501</v>
      </c>
      <c r="G7" s="30">
        <v>0.18</v>
      </c>
      <c r="H7" s="33" t="s">
        <v>74</v>
      </c>
      <c r="I7" s="31">
        <v>0</v>
      </c>
      <c r="J7" s="32">
        <v>0</v>
      </c>
      <c r="K7" s="2"/>
      <c r="L7" s="2"/>
    </row>
    <row r="8" spans="1:12" ht="39.9" customHeight="1" x14ac:dyDescent="0.3">
      <c r="A8" s="27">
        <v>6</v>
      </c>
      <c r="B8" s="37" t="s">
        <v>72</v>
      </c>
      <c r="C8" s="28" t="s">
        <v>68</v>
      </c>
      <c r="D8" s="27" t="s">
        <v>56</v>
      </c>
      <c r="E8" s="27">
        <v>1</v>
      </c>
      <c r="F8" s="27">
        <v>8501</v>
      </c>
      <c r="G8" s="30">
        <v>0.18</v>
      </c>
      <c r="H8" s="31" t="s">
        <v>70</v>
      </c>
      <c r="I8" s="31">
        <v>0</v>
      </c>
      <c r="J8" s="32" t="s">
        <v>71</v>
      </c>
      <c r="K8" s="2"/>
      <c r="L8" s="2"/>
    </row>
    <row r="9" spans="1:12" ht="39.9" customHeight="1" x14ac:dyDescent="0.3">
      <c r="A9" s="27">
        <v>7</v>
      </c>
      <c r="B9" s="37" t="s">
        <v>72</v>
      </c>
      <c r="C9" s="28" t="s">
        <v>69</v>
      </c>
      <c r="D9" s="27" t="s">
        <v>56</v>
      </c>
      <c r="E9" s="27">
        <v>1</v>
      </c>
      <c r="F9" s="27">
        <v>8501</v>
      </c>
      <c r="G9" s="30">
        <v>0.18</v>
      </c>
      <c r="H9" s="31" t="s">
        <v>70</v>
      </c>
      <c r="I9" s="31">
        <v>0</v>
      </c>
      <c r="J9" s="32" t="s">
        <v>71</v>
      </c>
      <c r="K9" s="2"/>
      <c r="L9" s="2"/>
    </row>
    <row r="10" spans="1:12" ht="14.4" thickBot="1" x14ac:dyDescent="0.35">
      <c r="A10" s="8">
        <v>8</v>
      </c>
      <c r="B10" s="214" t="s">
        <v>9</v>
      </c>
      <c r="C10" s="214"/>
      <c r="D10" s="214"/>
      <c r="E10" s="214"/>
      <c r="F10" s="214"/>
      <c r="G10" s="214"/>
      <c r="H10" s="214"/>
      <c r="I10" s="215">
        <f>SUM(J3:J9)</f>
        <v>799232.97439999995</v>
      </c>
      <c r="J10" s="215"/>
      <c r="K10" s="1"/>
      <c r="L10" s="1"/>
    </row>
    <row r="11" spans="1:12" x14ac:dyDescent="0.3">
      <c r="A11" s="10" t="s">
        <v>10</v>
      </c>
      <c r="B11" s="216" t="s">
        <v>11</v>
      </c>
      <c r="C11" s="216"/>
      <c r="D11" s="216"/>
      <c r="E11" s="216"/>
      <c r="F11" s="216"/>
      <c r="G11" s="216"/>
      <c r="H11" s="216"/>
      <c r="I11" s="216"/>
      <c r="J11" s="217"/>
      <c r="K11" s="11"/>
      <c r="L11" s="1"/>
    </row>
    <row r="12" spans="1:12" s="9" customFormat="1" x14ac:dyDescent="0.3">
      <c r="A12" s="218" t="s">
        <v>12</v>
      </c>
      <c r="B12" s="219"/>
      <c r="C12" s="219"/>
      <c r="D12" s="219"/>
      <c r="E12" s="219"/>
      <c r="F12" s="219"/>
      <c r="G12" s="219"/>
      <c r="H12" s="219"/>
      <c r="I12" s="219"/>
      <c r="J12" s="220"/>
      <c r="K12" s="16"/>
      <c r="L12" s="2"/>
    </row>
    <row r="13" spans="1:12" s="9" customFormat="1" ht="118.8" x14ac:dyDescent="0.3">
      <c r="A13" s="18" t="s">
        <v>13</v>
      </c>
      <c r="B13" s="209" t="s">
        <v>73</v>
      </c>
      <c r="C13" s="209"/>
      <c r="D13" s="209"/>
      <c r="E13" s="209"/>
      <c r="F13" s="209"/>
      <c r="G13" s="209"/>
      <c r="H13" s="209"/>
      <c r="I13" s="209"/>
      <c r="J13" s="210"/>
      <c r="K13" s="12"/>
      <c r="L13" s="2"/>
    </row>
  </sheetData>
  <mergeCells count="6">
    <mergeCell ref="B13:J13"/>
    <mergeCell ref="A1:E1"/>
    <mergeCell ref="B10:H10"/>
    <mergeCell ref="I10:J10"/>
    <mergeCell ref="B11:J11"/>
    <mergeCell ref="A12:J12"/>
  </mergeCells>
  <hyperlinks>
    <hyperlink ref="B12" r:id="rId1" display="CST@2%" xr:uid="{00000000-0004-0000-0200-000000000000}"/>
    <hyperlink ref="I2" r:id="rId2" xr:uid="{00000000-0004-0000-0200-000001000000}"/>
  </hyperlinks>
  <pageMargins left="0.25" right="0.25" top="0.75" bottom="0.75" header="0.3" footer="0.3"/>
  <pageSetup orientation="landscape" horizontalDpi="4294967292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"/>
  <sheetViews>
    <sheetView workbookViewId="0">
      <selection activeCell="C3" sqref="C3"/>
    </sheetView>
  </sheetViews>
  <sheetFormatPr defaultColWidth="9.109375" defaultRowHeight="13.8" x14ac:dyDescent="0.3"/>
  <cols>
    <col min="1" max="1" width="6.109375" style="13" customWidth="1"/>
    <col min="2" max="2" width="11.6640625" style="6" customWidth="1"/>
    <col min="3" max="3" width="45" style="6" customWidth="1"/>
    <col min="4" max="4" width="5.88671875" style="14" bestFit="1" customWidth="1"/>
    <col min="5" max="5" width="5.33203125" style="7" customWidth="1"/>
    <col min="6" max="6" width="9" style="14" bestFit="1" customWidth="1"/>
    <col min="7" max="7" width="8.5546875" style="7" customWidth="1"/>
    <col min="8" max="8" width="13.33203125" style="7" customWidth="1"/>
    <col min="9" max="9" width="9.6640625" style="7" bestFit="1" customWidth="1"/>
    <col min="10" max="10" width="12.44140625" style="7" bestFit="1" customWidth="1"/>
    <col min="11" max="11" width="11" style="15" bestFit="1" customWidth="1"/>
    <col min="12" max="12" width="9.109375" style="15"/>
    <col min="13" max="13" width="11" style="15" bestFit="1" customWidth="1"/>
    <col min="14" max="16384" width="9.109375" style="7"/>
  </cols>
  <sheetData>
    <row r="1" spans="1:12" s="5" customFormat="1" ht="13.5" customHeight="1" thickBot="1" x14ac:dyDescent="0.35">
      <c r="A1" s="211"/>
      <c r="B1" s="212"/>
      <c r="C1" s="212"/>
      <c r="D1" s="212"/>
      <c r="E1" s="213"/>
      <c r="F1" s="19"/>
      <c r="G1" s="20"/>
      <c r="H1" s="20"/>
      <c r="I1" s="20"/>
      <c r="J1" s="21"/>
      <c r="K1" s="2"/>
      <c r="L1" s="3"/>
    </row>
    <row r="2" spans="1:12" s="26" customFormat="1" ht="14.4" thickBot="1" x14ac:dyDescent="0.35">
      <c r="A2" s="22" t="s">
        <v>0</v>
      </c>
      <c r="B2" s="23" t="s">
        <v>15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2" t="s">
        <v>8</v>
      </c>
      <c r="K2" s="24" t="s">
        <v>61</v>
      </c>
      <c r="L2" s="24" t="s">
        <v>60</v>
      </c>
    </row>
    <row r="3" spans="1:12" ht="57" customHeight="1" thickBot="1" x14ac:dyDescent="0.3">
      <c r="A3" s="27">
        <v>1</v>
      </c>
      <c r="B3" s="37" t="s">
        <v>78</v>
      </c>
      <c r="C3" s="28" t="s">
        <v>75</v>
      </c>
      <c r="D3" s="27" t="s">
        <v>56</v>
      </c>
      <c r="E3" s="27">
        <v>2</v>
      </c>
      <c r="F3" s="27">
        <v>8481</v>
      </c>
      <c r="G3" s="30">
        <v>0.18</v>
      </c>
      <c r="H3" s="31">
        <f>K3*74*1.34</f>
        <v>32227.000000000004</v>
      </c>
      <c r="I3" s="31">
        <f t="shared" ref="I3:I5" si="0">H3*G3</f>
        <v>5800.8600000000006</v>
      </c>
      <c r="J3" s="32">
        <f t="shared" ref="J3:J5" si="1">(H3+I3)*E3</f>
        <v>76055.72</v>
      </c>
      <c r="K3" s="2">
        <v>325</v>
      </c>
      <c r="L3" s="38" t="s">
        <v>79</v>
      </c>
    </row>
    <row r="4" spans="1:12" ht="39.9" customHeight="1" thickBot="1" x14ac:dyDescent="0.3">
      <c r="A4" s="27">
        <v>2</v>
      </c>
      <c r="B4" s="37" t="s">
        <v>78</v>
      </c>
      <c r="C4" s="28" t="s">
        <v>77</v>
      </c>
      <c r="D4" s="27" t="s">
        <v>56</v>
      </c>
      <c r="E4" s="27">
        <v>2</v>
      </c>
      <c r="F4" s="27">
        <v>8481</v>
      </c>
      <c r="G4" s="30">
        <v>0.18</v>
      </c>
      <c r="H4" s="31">
        <f t="shared" ref="H4:H5" si="2">K4*74*1.34</f>
        <v>52554.8</v>
      </c>
      <c r="I4" s="31">
        <f t="shared" si="0"/>
        <v>9459.8639999999996</v>
      </c>
      <c r="J4" s="32">
        <f t="shared" si="1"/>
        <v>124029.32800000001</v>
      </c>
      <c r="K4" s="2">
        <v>530</v>
      </c>
      <c r="L4" s="38" t="s">
        <v>80</v>
      </c>
    </row>
    <row r="5" spans="1:12" ht="39.9" customHeight="1" x14ac:dyDescent="0.3">
      <c r="A5" s="27">
        <v>3</v>
      </c>
      <c r="B5" s="37" t="s">
        <v>78</v>
      </c>
      <c r="C5" s="28" t="s">
        <v>76</v>
      </c>
      <c r="D5" s="27" t="s">
        <v>56</v>
      </c>
      <c r="E5" s="27">
        <v>2</v>
      </c>
      <c r="F5" s="27">
        <v>8481</v>
      </c>
      <c r="G5" s="30">
        <v>0.18</v>
      </c>
      <c r="H5" s="31">
        <f t="shared" si="2"/>
        <v>32227.000000000004</v>
      </c>
      <c r="I5" s="31">
        <f t="shared" si="0"/>
        <v>5800.8600000000006</v>
      </c>
      <c r="J5" s="32">
        <f t="shared" si="1"/>
        <v>76055.72</v>
      </c>
      <c r="K5" s="2">
        <v>325</v>
      </c>
      <c r="L5" s="2"/>
    </row>
    <row r="6" spans="1:12" ht="14.4" thickBot="1" x14ac:dyDescent="0.35">
      <c r="A6" s="8">
        <v>4</v>
      </c>
      <c r="B6" s="214" t="s">
        <v>9</v>
      </c>
      <c r="C6" s="214"/>
      <c r="D6" s="214"/>
      <c r="E6" s="214"/>
      <c r="F6" s="214"/>
      <c r="G6" s="214"/>
      <c r="H6" s="214"/>
      <c r="I6" s="215">
        <f>SUM(J3:J5)</f>
        <v>276140.76800000004</v>
      </c>
      <c r="J6" s="215"/>
      <c r="K6" s="1"/>
      <c r="L6" s="1"/>
    </row>
    <row r="7" spans="1:12" x14ac:dyDescent="0.3">
      <c r="A7" s="10" t="s">
        <v>10</v>
      </c>
      <c r="B7" s="216" t="s">
        <v>11</v>
      </c>
      <c r="C7" s="216"/>
      <c r="D7" s="216"/>
      <c r="E7" s="216"/>
      <c r="F7" s="216"/>
      <c r="G7" s="216"/>
      <c r="H7" s="216"/>
      <c r="I7" s="216"/>
      <c r="J7" s="217"/>
      <c r="K7" s="11"/>
      <c r="L7" s="1"/>
    </row>
    <row r="8" spans="1:12" s="9" customFormat="1" x14ac:dyDescent="0.3">
      <c r="A8" s="218" t="s">
        <v>12</v>
      </c>
      <c r="B8" s="219"/>
      <c r="C8" s="219"/>
      <c r="D8" s="219"/>
      <c r="E8" s="219"/>
      <c r="F8" s="219"/>
      <c r="G8" s="219"/>
      <c r="H8" s="219"/>
      <c r="I8" s="219"/>
      <c r="J8" s="220"/>
      <c r="K8" s="16"/>
      <c r="L8" s="2"/>
    </row>
    <row r="9" spans="1:12" s="9" customFormat="1" ht="118.8" x14ac:dyDescent="0.3">
      <c r="A9" s="18" t="s">
        <v>13</v>
      </c>
      <c r="B9" s="209" t="s">
        <v>73</v>
      </c>
      <c r="C9" s="209"/>
      <c r="D9" s="209"/>
      <c r="E9" s="209"/>
      <c r="F9" s="209"/>
      <c r="G9" s="209"/>
      <c r="H9" s="209"/>
      <c r="I9" s="209"/>
      <c r="J9" s="210"/>
      <c r="K9" s="12"/>
      <c r="L9" s="2"/>
    </row>
  </sheetData>
  <mergeCells count="6">
    <mergeCell ref="B9:J9"/>
    <mergeCell ref="A1:E1"/>
    <mergeCell ref="B6:H6"/>
    <mergeCell ref="I6:J6"/>
    <mergeCell ref="B7:J7"/>
    <mergeCell ref="A8:J8"/>
  </mergeCells>
  <hyperlinks>
    <hyperlink ref="B8" r:id="rId1" display="CST@2%" xr:uid="{00000000-0004-0000-0300-000000000000}"/>
    <hyperlink ref="I2" r:id="rId2" xr:uid="{00000000-0004-0000-0300-000001000000}"/>
  </hyperlinks>
  <pageMargins left="0.25" right="0.25" top="0.75" bottom="0.75" header="0.3" footer="0.3"/>
  <pageSetup orientation="landscape" horizontalDpi="4294967292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9"/>
  <sheetViews>
    <sheetView workbookViewId="0">
      <selection activeCell="K5" sqref="K5"/>
    </sheetView>
  </sheetViews>
  <sheetFormatPr defaultColWidth="9.109375" defaultRowHeight="13.8" x14ac:dyDescent="0.3"/>
  <cols>
    <col min="1" max="1" width="6.109375" style="13" customWidth="1"/>
    <col min="2" max="2" width="11.6640625" style="6" customWidth="1"/>
    <col min="3" max="3" width="45" style="6" customWidth="1"/>
    <col min="4" max="4" width="5.88671875" style="14" bestFit="1" customWidth="1"/>
    <col min="5" max="5" width="5.33203125" style="7" customWidth="1"/>
    <col min="6" max="6" width="9" style="14" bestFit="1" customWidth="1"/>
    <col min="7" max="7" width="8.5546875" style="7" customWidth="1"/>
    <col min="8" max="8" width="13.33203125" style="7" customWidth="1"/>
    <col min="9" max="9" width="9.6640625" style="7" bestFit="1" customWidth="1"/>
    <col min="10" max="10" width="12.44140625" style="7" bestFit="1" customWidth="1"/>
    <col min="11" max="11" width="11" style="15" bestFit="1" customWidth="1"/>
    <col min="12" max="12" width="9.109375" style="15"/>
    <col min="13" max="13" width="11" style="15" bestFit="1" customWidth="1"/>
    <col min="14" max="16384" width="9.109375" style="7"/>
  </cols>
  <sheetData>
    <row r="1" spans="1:13" s="5" customFormat="1" ht="13.5" customHeight="1" thickBot="1" x14ac:dyDescent="0.35">
      <c r="A1" s="211"/>
      <c r="B1" s="212"/>
      <c r="C1" s="212"/>
      <c r="D1" s="212"/>
      <c r="E1" s="213"/>
      <c r="F1" s="19"/>
      <c r="G1" s="20"/>
      <c r="H1" s="20"/>
      <c r="I1" s="20"/>
      <c r="J1" s="21"/>
      <c r="K1" s="2"/>
      <c r="L1" s="3"/>
      <c r="M1" s="3"/>
    </row>
    <row r="2" spans="1:13" s="26" customFormat="1" ht="14.4" thickBot="1" x14ac:dyDescent="0.35">
      <c r="A2" s="22" t="s">
        <v>0</v>
      </c>
      <c r="B2" s="23" t="s">
        <v>15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2" t="s">
        <v>8</v>
      </c>
      <c r="K2" s="24" t="s">
        <v>61</v>
      </c>
      <c r="L2" s="24" t="s">
        <v>60</v>
      </c>
      <c r="M2" s="24" t="s">
        <v>109</v>
      </c>
    </row>
    <row r="3" spans="1:13" ht="57" customHeight="1" thickBot="1" x14ac:dyDescent="0.3">
      <c r="A3" s="27">
        <v>1</v>
      </c>
      <c r="B3" s="39" t="s">
        <v>81</v>
      </c>
      <c r="C3" s="28" t="s">
        <v>85</v>
      </c>
      <c r="D3" s="27" t="s">
        <v>56</v>
      </c>
      <c r="E3" s="27">
        <v>2</v>
      </c>
      <c r="F3" s="27">
        <v>8501</v>
      </c>
      <c r="G3" s="30">
        <v>0.18</v>
      </c>
      <c r="H3" s="31">
        <f>K3*74*1.34</f>
        <v>15270.640000000001</v>
      </c>
      <c r="I3" s="31">
        <f t="shared" ref="I3:I5" si="0">H3*G3</f>
        <v>2748.7152000000001</v>
      </c>
      <c r="J3" s="32">
        <f t="shared" ref="J3:J5" si="1">(H3+I3)*E3</f>
        <v>36038.710400000004</v>
      </c>
      <c r="K3" s="2">
        <v>154</v>
      </c>
      <c r="L3" s="38">
        <v>144</v>
      </c>
      <c r="M3" s="2">
        <v>130</v>
      </c>
    </row>
    <row r="4" spans="1:13" ht="39.9" customHeight="1" thickBot="1" x14ac:dyDescent="0.3">
      <c r="A4" s="27">
        <v>2</v>
      </c>
      <c r="B4" s="39" t="s">
        <v>82</v>
      </c>
      <c r="C4" s="28" t="s">
        <v>84</v>
      </c>
      <c r="D4" s="27" t="s">
        <v>56</v>
      </c>
      <c r="E4" s="27">
        <v>3</v>
      </c>
      <c r="F4" s="27">
        <v>8501</v>
      </c>
      <c r="G4" s="30">
        <v>0.18</v>
      </c>
      <c r="H4" s="31">
        <f t="shared" ref="H4:H5" si="2">K4*74*1.34</f>
        <v>15270.640000000001</v>
      </c>
      <c r="I4" s="31">
        <f t="shared" si="0"/>
        <v>2748.7152000000001</v>
      </c>
      <c r="J4" s="32">
        <f t="shared" si="1"/>
        <v>54058.065600000002</v>
      </c>
      <c r="K4" s="2">
        <v>154</v>
      </c>
      <c r="L4" s="38">
        <v>144</v>
      </c>
      <c r="M4" s="2">
        <v>130</v>
      </c>
    </row>
    <row r="5" spans="1:13" ht="39.9" customHeight="1" x14ac:dyDescent="0.3">
      <c r="A5" s="27">
        <v>3</v>
      </c>
      <c r="B5" s="39" t="s">
        <v>82</v>
      </c>
      <c r="C5" s="28" t="s">
        <v>83</v>
      </c>
      <c r="D5" s="27" t="s">
        <v>56</v>
      </c>
      <c r="E5" s="27">
        <v>4</v>
      </c>
      <c r="F5" s="27">
        <v>8503</v>
      </c>
      <c r="G5" s="30">
        <v>0.18</v>
      </c>
      <c r="H5" s="31">
        <f t="shared" si="2"/>
        <v>12097.52</v>
      </c>
      <c r="I5" s="31">
        <f t="shared" si="0"/>
        <v>2177.5536000000002</v>
      </c>
      <c r="J5" s="32">
        <f t="shared" si="1"/>
        <v>57100.294399999999</v>
      </c>
      <c r="K5" s="2">
        <v>122</v>
      </c>
      <c r="L5" s="2">
        <v>112</v>
      </c>
      <c r="M5" s="2">
        <v>205</v>
      </c>
    </row>
    <row r="6" spans="1:13" ht="14.4" thickBot="1" x14ac:dyDescent="0.35">
      <c r="A6" s="8">
        <v>4</v>
      </c>
      <c r="B6" s="214" t="s">
        <v>9</v>
      </c>
      <c r="C6" s="214"/>
      <c r="D6" s="214"/>
      <c r="E6" s="214"/>
      <c r="F6" s="214"/>
      <c r="G6" s="214"/>
      <c r="H6" s="214"/>
      <c r="I6" s="215">
        <f>SUM(J3:J5)</f>
        <v>147197.07040000003</v>
      </c>
      <c r="J6" s="215"/>
      <c r="K6" s="1"/>
      <c r="L6" s="1"/>
      <c r="M6" s="1"/>
    </row>
    <row r="7" spans="1:13" x14ac:dyDescent="0.3">
      <c r="A7" s="10"/>
      <c r="B7" s="216"/>
      <c r="C7" s="216"/>
      <c r="D7" s="216"/>
      <c r="E7" s="216"/>
      <c r="F7" s="216"/>
      <c r="G7" s="216"/>
      <c r="H7" s="216"/>
      <c r="I7" s="216"/>
      <c r="J7" s="217"/>
      <c r="K7" s="11"/>
      <c r="L7" s="1"/>
      <c r="M7" s="1"/>
    </row>
    <row r="8" spans="1:13" s="9" customFormat="1" x14ac:dyDescent="0.3">
      <c r="A8" s="218" t="s">
        <v>12</v>
      </c>
      <c r="B8" s="219"/>
      <c r="C8" s="219"/>
      <c r="D8" s="219"/>
      <c r="E8" s="219"/>
      <c r="F8" s="219"/>
      <c r="G8" s="219"/>
      <c r="H8" s="219"/>
      <c r="I8" s="219"/>
      <c r="J8" s="220"/>
      <c r="K8" s="16"/>
      <c r="L8" s="2"/>
    </row>
    <row r="9" spans="1:13" s="9" customFormat="1" ht="118.8" x14ac:dyDescent="0.3">
      <c r="A9" s="18" t="s">
        <v>13</v>
      </c>
      <c r="B9" s="209" t="s">
        <v>73</v>
      </c>
      <c r="C9" s="209"/>
      <c r="D9" s="209"/>
      <c r="E9" s="209"/>
      <c r="F9" s="209"/>
      <c r="G9" s="209"/>
      <c r="H9" s="209"/>
      <c r="I9" s="209"/>
      <c r="J9" s="210"/>
      <c r="K9" s="12"/>
      <c r="L9" s="2"/>
    </row>
  </sheetData>
  <mergeCells count="6">
    <mergeCell ref="B9:J9"/>
    <mergeCell ref="A1:E1"/>
    <mergeCell ref="B6:H6"/>
    <mergeCell ref="I6:J6"/>
    <mergeCell ref="B7:J7"/>
    <mergeCell ref="A8:J8"/>
  </mergeCells>
  <hyperlinks>
    <hyperlink ref="B8" r:id="rId1" display="CST@2%" xr:uid="{00000000-0004-0000-0400-000000000000}"/>
    <hyperlink ref="I2" r:id="rId2" xr:uid="{00000000-0004-0000-0400-000001000000}"/>
  </hyperlinks>
  <pageMargins left="0.25" right="0.25" top="0.75" bottom="0.75" header="0.3" footer="0.3"/>
  <pageSetup orientation="landscape" horizontalDpi="4294967292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9"/>
  <sheetViews>
    <sheetView topLeftCell="A2" workbookViewId="0">
      <selection activeCell="L3" sqref="L3"/>
    </sheetView>
  </sheetViews>
  <sheetFormatPr defaultColWidth="9.109375" defaultRowHeight="13.2" x14ac:dyDescent="0.3"/>
  <cols>
    <col min="1" max="1" width="6.109375" style="60" customWidth="1"/>
    <col min="2" max="2" width="11.6640625" style="54" customWidth="1"/>
    <col min="3" max="3" width="45" style="54" customWidth="1"/>
    <col min="4" max="4" width="5.88671875" style="61" bestFit="1" customWidth="1"/>
    <col min="5" max="5" width="5.33203125" style="61" customWidth="1"/>
    <col min="6" max="6" width="9" style="61" bestFit="1" customWidth="1"/>
    <col min="7" max="7" width="8.5546875" style="61" customWidth="1"/>
    <col min="8" max="8" width="13.33203125" style="61" customWidth="1"/>
    <col min="9" max="9" width="13.33203125" style="61" bestFit="1" customWidth="1"/>
    <col min="10" max="10" width="11" style="67" bestFit="1" customWidth="1"/>
    <col min="11" max="11" width="9.109375" style="67"/>
    <col min="12" max="12" width="18.6640625" style="67" bestFit="1" customWidth="1"/>
    <col min="13" max="13" width="10.5546875" style="61" bestFit="1" customWidth="1"/>
    <col min="14" max="16384" width="9.109375" style="61"/>
  </cols>
  <sheetData>
    <row r="1" spans="1:14" s="60" customFormat="1" ht="13.5" customHeight="1" thickBot="1" x14ac:dyDescent="0.35">
      <c r="A1" s="223"/>
      <c r="B1" s="224"/>
      <c r="C1" s="224"/>
      <c r="D1" s="224"/>
      <c r="E1" s="225"/>
      <c r="F1" s="62"/>
      <c r="G1" s="63"/>
      <c r="H1" s="63"/>
      <c r="I1" s="64"/>
      <c r="J1" s="40"/>
      <c r="K1" s="41"/>
      <c r="L1" s="41"/>
      <c r="M1" s="42"/>
      <c r="N1" s="42"/>
    </row>
    <row r="2" spans="1:14" s="65" customFormat="1" x14ac:dyDescent="0.3">
      <c r="A2" s="43" t="s">
        <v>0</v>
      </c>
      <c r="B2" s="44" t="s">
        <v>96</v>
      </c>
      <c r="C2" s="43" t="s">
        <v>1</v>
      </c>
      <c r="D2" s="43" t="s">
        <v>2</v>
      </c>
      <c r="E2" s="43" t="s">
        <v>3</v>
      </c>
      <c r="F2" s="43" t="s">
        <v>4</v>
      </c>
      <c r="G2" s="43" t="s">
        <v>5</v>
      </c>
      <c r="H2" s="43" t="s">
        <v>6</v>
      </c>
      <c r="I2" s="43" t="s">
        <v>8</v>
      </c>
      <c r="J2" s="45" t="s">
        <v>61</v>
      </c>
      <c r="K2" s="45" t="s">
        <v>60</v>
      </c>
      <c r="L2" s="45" t="s">
        <v>97</v>
      </c>
      <c r="M2" s="46"/>
      <c r="N2" s="46"/>
    </row>
    <row r="3" spans="1:14" ht="52.8" x14ac:dyDescent="0.3">
      <c r="A3" s="47">
        <v>1</v>
      </c>
      <c r="B3" s="48">
        <v>1</v>
      </c>
      <c r="C3" s="49" t="s">
        <v>86</v>
      </c>
      <c r="D3" s="47" t="s">
        <v>56</v>
      </c>
      <c r="E3" s="47">
        <v>1</v>
      </c>
      <c r="F3" s="47">
        <v>8503</v>
      </c>
      <c r="G3" s="50">
        <v>0.18</v>
      </c>
      <c r="H3" s="51">
        <f>L3*78*1.32</f>
        <v>41328.144000000008</v>
      </c>
      <c r="I3" s="52">
        <f>H3*E3</f>
        <v>41328.144000000008</v>
      </c>
      <c r="J3" s="40">
        <f>K3</f>
        <v>446</v>
      </c>
      <c r="K3" s="66">
        <v>446</v>
      </c>
      <c r="L3" s="40">
        <v>401.40000000000003</v>
      </c>
      <c r="M3" s="53">
        <f>K3*75*1.28</f>
        <v>42816</v>
      </c>
      <c r="N3" s="53">
        <f>(H3-M3)/H3</f>
        <v>-3.600103600103581E-2</v>
      </c>
    </row>
    <row r="4" spans="1:14" ht="52.8" x14ac:dyDescent="0.3">
      <c r="A4" s="47">
        <v>2</v>
      </c>
      <c r="B4" s="48">
        <v>2</v>
      </c>
      <c r="C4" s="49" t="s">
        <v>87</v>
      </c>
      <c r="D4" s="47" t="s">
        <v>56</v>
      </c>
      <c r="E4" s="47">
        <v>1</v>
      </c>
      <c r="F4" s="47">
        <v>8503</v>
      </c>
      <c r="G4" s="50">
        <v>0.18</v>
      </c>
      <c r="H4" s="51">
        <f t="shared" ref="H4:H13" si="0">L4*78*1.32</f>
        <v>55227.743999999999</v>
      </c>
      <c r="I4" s="52">
        <f t="shared" ref="I4:I13" si="1">H4*E4</f>
        <v>55227.743999999999</v>
      </c>
      <c r="J4" s="40">
        <f t="shared" ref="J4:J12" si="2">K4</f>
        <v>596</v>
      </c>
      <c r="K4" s="66">
        <v>596</v>
      </c>
      <c r="L4" s="40">
        <v>536.4</v>
      </c>
      <c r="M4" s="53"/>
      <c r="N4" s="54"/>
    </row>
    <row r="5" spans="1:14" ht="52.8" x14ac:dyDescent="0.3">
      <c r="A5" s="47">
        <v>3</v>
      </c>
      <c r="B5" s="48">
        <v>3</v>
      </c>
      <c r="C5" s="49" t="s">
        <v>88</v>
      </c>
      <c r="D5" s="47" t="s">
        <v>56</v>
      </c>
      <c r="E5" s="47">
        <v>1</v>
      </c>
      <c r="F5" s="47">
        <v>8503</v>
      </c>
      <c r="G5" s="50">
        <v>0.18</v>
      </c>
      <c r="H5" s="51">
        <f t="shared" si="0"/>
        <v>55227.743999999999</v>
      </c>
      <c r="I5" s="52">
        <f t="shared" si="1"/>
        <v>55227.743999999999</v>
      </c>
      <c r="J5" s="40">
        <f t="shared" si="2"/>
        <v>596</v>
      </c>
      <c r="K5" s="40">
        <v>596</v>
      </c>
      <c r="L5" s="40">
        <v>536.4</v>
      </c>
      <c r="M5" s="53"/>
      <c r="N5" s="54"/>
    </row>
    <row r="6" spans="1:14" ht="66" x14ac:dyDescent="0.3">
      <c r="A6" s="47">
        <v>4</v>
      </c>
      <c r="B6" s="48">
        <v>4</v>
      </c>
      <c r="C6" s="49" t="s">
        <v>89</v>
      </c>
      <c r="D6" s="47" t="s">
        <v>56</v>
      </c>
      <c r="E6" s="47">
        <v>1</v>
      </c>
      <c r="F6" s="47">
        <v>8503</v>
      </c>
      <c r="G6" s="50">
        <v>0.18</v>
      </c>
      <c r="H6" s="51">
        <f t="shared" si="0"/>
        <v>55227.743999999999</v>
      </c>
      <c r="I6" s="52">
        <f t="shared" si="1"/>
        <v>55227.743999999999</v>
      </c>
      <c r="J6" s="40">
        <f t="shared" si="2"/>
        <v>596</v>
      </c>
      <c r="K6" s="66">
        <v>596</v>
      </c>
      <c r="L6" s="40">
        <v>536.4</v>
      </c>
      <c r="M6" s="53"/>
      <c r="N6" s="54"/>
    </row>
    <row r="7" spans="1:14" ht="66" x14ac:dyDescent="0.3">
      <c r="A7" s="47">
        <v>5</v>
      </c>
      <c r="B7" s="48">
        <v>12</v>
      </c>
      <c r="C7" s="49" t="s">
        <v>90</v>
      </c>
      <c r="D7" s="47" t="s">
        <v>56</v>
      </c>
      <c r="E7" s="47">
        <v>5</v>
      </c>
      <c r="F7" s="47">
        <v>8503</v>
      </c>
      <c r="G7" s="50">
        <v>0.18</v>
      </c>
      <c r="H7" s="51">
        <f t="shared" si="0"/>
        <v>14733.575999999999</v>
      </c>
      <c r="I7" s="52">
        <f t="shared" si="1"/>
        <v>73667.87999999999</v>
      </c>
      <c r="J7" s="40">
        <f t="shared" si="2"/>
        <v>159</v>
      </c>
      <c r="K7" s="66">
        <v>159</v>
      </c>
      <c r="L7" s="40">
        <v>143.1</v>
      </c>
      <c r="M7" s="53"/>
      <c r="N7" s="54"/>
    </row>
    <row r="8" spans="1:14" ht="66" x14ac:dyDescent="0.3">
      <c r="A8" s="47">
        <v>6</v>
      </c>
      <c r="B8" s="48">
        <v>13</v>
      </c>
      <c r="C8" s="49" t="s">
        <v>91</v>
      </c>
      <c r="D8" s="47" t="s">
        <v>56</v>
      </c>
      <c r="E8" s="47">
        <v>5</v>
      </c>
      <c r="F8" s="47">
        <v>8503</v>
      </c>
      <c r="G8" s="50">
        <v>0.18</v>
      </c>
      <c r="H8" s="51">
        <f t="shared" si="0"/>
        <v>7413.1200000000008</v>
      </c>
      <c r="I8" s="52">
        <f t="shared" si="1"/>
        <v>37065.600000000006</v>
      </c>
      <c r="J8" s="40">
        <f t="shared" si="2"/>
        <v>80</v>
      </c>
      <c r="K8" s="40">
        <v>80</v>
      </c>
      <c r="L8" s="40">
        <v>72</v>
      </c>
      <c r="M8" s="53"/>
      <c r="N8" s="54"/>
    </row>
    <row r="9" spans="1:14" ht="105.6" x14ac:dyDescent="0.3">
      <c r="A9" s="47">
        <v>7</v>
      </c>
      <c r="B9" s="48">
        <v>14</v>
      </c>
      <c r="C9" s="49" t="s">
        <v>92</v>
      </c>
      <c r="D9" s="47" t="s">
        <v>56</v>
      </c>
      <c r="E9" s="47">
        <v>11</v>
      </c>
      <c r="F9" s="47">
        <v>8503</v>
      </c>
      <c r="G9" s="50">
        <v>0.18</v>
      </c>
      <c r="H9" s="51">
        <f t="shared" si="0"/>
        <v>23351.328000000001</v>
      </c>
      <c r="I9" s="52">
        <f t="shared" si="1"/>
        <v>256864.60800000001</v>
      </c>
      <c r="J9" s="40">
        <f t="shared" si="2"/>
        <v>252</v>
      </c>
      <c r="K9" s="66">
        <v>252</v>
      </c>
      <c r="L9" s="40">
        <v>226.8</v>
      </c>
      <c r="M9" s="53"/>
      <c r="N9" s="54"/>
    </row>
    <row r="10" spans="1:14" ht="118.8" x14ac:dyDescent="0.3">
      <c r="A10" s="47">
        <v>8</v>
      </c>
      <c r="B10" s="48">
        <v>15</v>
      </c>
      <c r="C10" s="49" t="s">
        <v>100</v>
      </c>
      <c r="D10" s="47" t="s">
        <v>56</v>
      </c>
      <c r="E10" s="47">
        <v>13</v>
      </c>
      <c r="F10" s="47">
        <v>8503</v>
      </c>
      <c r="G10" s="50">
        <v>0.18</v>
      </c>
      <c r="H10" s="51">
        <f t="shared" si="0"/>
        <v>25740</v>
      </c>
      <c r="I10" s="52">
        <f t="shared" si="1"/>
        <v>334620</v>
      </c>
      <c r="J10" s="40">
        <f t="shared" si="2"/>
        <v>250</v>
      </c>
      <c r="K10" s="40">
        <v>250</v>
      </c>
      <c r="L10" s="40">
        <v>250</v>
      </c>
      <c r="M10" s="53"/>
      <c r="N10" s="54"/>
    </row>
    <row r="11" spans="1:14" ht="79.2" x14ac:dyDescent="0.3">
      <c r="A11" s="47">
        <v>9</v>
      </c>
      <c r="B11" s="48">
        <v>16</v>
      </c>
      <c r="C11" s="49" t="s">
        <v>93</v>
      </c>
      <c r="D11" s="47" t="s">
        <v>56</v>
      </c>
      <c r="E11" s="47">
        <v>5</v>
      </c>
      <c r="F11" s="47">
        <v>8503</v>
      </c>
      <c r="G11" s="50">
        <v>0.18</v>
      </c>
      <c r="H11" s="51">
        <f t="shared" si="0"/>
        <v>36972.936000000009</v>
      </c>
      <c r="I11" s="52">
        <f t="shared" si="1"/>
        <v>184864.68000000005</v>
      </c>
      <c r="J11" s="40">
        <f t="shared" si="2"/>
        <v>399</v>
      </c>
      <c r="K11" s="66">
        <v>399</v>
      </c>
      <c r="L11" s="40">
        <v>359.1</v>
      </c>
      <c r="M11" s="53"/>
      <c r="N11" s="54"/>
    </row>
    <row r="12" spans="1:14" ht="79.2" x14ac:dyDescent="0.3">
      <c r="A12" s="47">
        <v>10</v>
      </c>
      <c r="B12" s="48">
        <v>20</v>
      </c>
      <c r="C12" s="49" t="s">
        <v>94</v>
      </c>
      <c r="D12" s="47" t="s">
        <v>56</v>
      </c>
      <c r="E12" s="47">
        <v>10</v>
      </c>
      <c r="F12" s="47">
        <v>8503</v>
      </c>
      <c r="G12" s="50">
        <v>0.18</v>
      </c>
      <c r="H12" s="51">
        <f t="shared" si="0"/>
        <v>1482.624</v>
      </c>
      <c r="I12" s="52">
        <f t="shared" si="1"/>
        <v>14826.24</v>
      </c>
      <c r="J12" s="40">
        <f t="shared" si="2"/>
        <v>16</v>
      </c>
      <c r="K12" s="66">
        <v>16</v>
      </c>
      <c r="L12" s="40">
        <v>14.4</v>
      </c>
      <c r="M12" s="53"/>
      <c r="N12" s="54"/>
    </row>
    <row r="13" spans="1:14" ht="52.8" x14ac:dyDescent="0.3">
      <c r="A13" s="47">
        <v>11</v>
      </c>
      <c r="B13" s="48">
        <v>22</v>
      </c>
      <c r="C13" s="49" t="s">
        <v>95</v>
      </c>
      <c r="D13" s="47" t="s">
        <v>56</v>
      </c>
      <c r="E13" s="47">
        <v>15</v>
      </c>
      <c r="F13" s="47">
        <v>8503</v>
      </c>
      <c r="G13" s="50">
        <v>0.18</v>
      </c>
      <c r="H13" s="51">
        <f t="shared" si="0"/>
        <v>8803.08</v>
      </c>
      <c r="I13" s="52">
        <f t="shared" si="1"/>
        <v>132046.20000000001</v>
      </c>
      <c r="J13" s="40">
        <v>95</v>
      </c>
      <c r="K13" s="66">
        <v>95</v>
      </c>
      <c r="L13" s="40">
        <v>85.5</v>
      </c>
      <c r="M13" s="53"/>
      <c r="N13" s="54"/>
    </row>
    <row r="14" spans="1:14" x14ac:dyDescent="0.3">
      <c r="A14" s="47">
        <v>12</v>
      </c>
      <c r="B14" s="226" t="s">
        <v>98</v>
      </c>
      <c r="C14" s="226"/>
      <c r="D14" s="226"/>
      <c r="E14" s="226"/>
      <c r="F14" s="226"/>
      <c r="G14" s="226"/>
      <c r="H14" s="226"/>
      <c r="I14" s="68">
        <f>SUM(I3:I13)</f>
        <v>1240966.584</v>
      </c>
      <c r="J14" s="40"/>
      <c r="K14" s="40"/>
      <c r="L14" s="40"/>
      <c r="M14" s="54"/>
      <c r="N14" s="54"/>
    </row>
    <row r="15" spans="1:14" x14ac:dyDescent="0.3">
      <c r="A15" s="47">
        <v>13</v>
      </c>
      <c r="B15" s="226" t="s">
        <v>99</v>
      </c>
      <c r="C15" s="226"/>
      <c r="D15" s="226"/>
      <c r="E15" s="226"/>
      <c r="F15" s="226"/>
      <c r="G15" s="226"/>
      <c r="H15" s="226"/>
      <c r="I15" s="68">
        <f>I14*18%</f>
        <v>223373.98512</v>
      </c>
      <c r="J15" s="40"/>
      <c r="K15" s="40"/>
      <c r="L15" s="40"/>
      <c r="M15" s="54"/>
      <c r="N15" s="54"/>
    </row>
    <row r="16" spans="1:14" ht="13.8" thickBot="1" x14ac:dyDescent="0.35">
      <c r="A16" s="47">
        <v>14</v>
      </c>
      <c r="B16" s="226" t="s">
        <v>9</v>
      </c>
      <c r="C16" s="226"/>
      <c r="D16" s="226"/>
      <c r="E16" s="226"/>
      <c r="F16" s="226"/>
      <c r="G16" s="226"/>
      <c r="H16" s="226"/>
      <c r="I16" s="68">
        <f>I14+I15</f>
        <v>1464340.5691200001</v>
      </c>
      <c r="J16" s="40"/>
      <c r="K16" s="40"/>
      <c r="L16" s="40"/>
      <c r="M16" s="54"/>
      <c r="N16" s="54"/>
    </row>
    <row r="17" spans="1:9" x14ac:dyDescent="0.3">
      <c r="A17" s="55"/>
      <c r="B17" s="227"/>
      <c r="C17" s="227"/>
      <c r="D17" s="227"/>
      <c r="E17" s="227"/>
      <c r="F17" s="227"/>
      <c r="G17" s="227"/>
      <c r="H17" s="227"/>
      <c r="I17" s="228"/>
    </row>
    <row r="18" spans="1:9" s="54" customFormat="1" x14ac:dyDescent="0.3">
      <c r="A18" s="229" t="s">
        <v>12</v>
      </c>
      <c r="B18" s="230"/>
      <c r="C18" s="230"/>
      <c r="D18" s="230"/>
      <c r="E18" s="230"/>
      <c r="F18" s="230"/>
      <c r="G18" s="230"/>
      <c r="H18" s="230"/>
      <c r="I18" s="231"/>
    </row>
    <row r="19" spans="1:9" s="54" customFormat="1" ht="118.8" x14ac:dyDescent="0.3">
      <c r="A19" s="58" t="s">
        <v>13</v>
      </c>
      <c r="B19" s="221" t="s">
        <v>73</v>
      </c>
      <c r="C19" s="221"/>
      <c r="D19" s="221"/>
      <c r="E19" s="221"/>
      <c r="F19" s="221"/>
      <c r="G19" s="221"/>
      <c r="H19" s="221"/>
      <c r="I19" s="222"/>
    </row>
  </sheetData>
  <mergeCells count="7">
    <mergeCell ref="B19:I19"/>
    <mergeCell ref="A1:E1"/>
    <mergeCell ref="B16:H16"/>
    <mergeCell ref="B17:I17"/>
    <mergeCell ref="A18:I18"/>
    <mergeCell ref="B14:H14"/>
    <mergeCell ref="B15:H15"/>
  </mergeCells>
  <hyperlinks>
    <hyperlink ref="B18" r:id="rId1" display="CST@2%" xr:uid="{00000000-0004-0000-05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3"/>
  <sheetViews>
    <sheetView topLeftCell="A2" workbookViewId="0">
      <selection activeCell="H5" sqref="H5"/>
    </sheetView>
  </sheetViews>
  <sheetFormatPr defaultColWidth="9.109375" defaultRowHeight="13.2" x14ac:dyDescent="0.3"/>
  <cols>
    <col min="1" max="1" width="6.109375" style="60" customWidth="1"/>
    <col min="2" max="2" width="14" style="54" bestFit="1" customWidth="1"/>
    <col min="3" max="3" width="45" style="54" customWidth="1"/>
    <col min="4" max="4" width="5.88671875" style="61" bestFit="1" customWidth="1"/>
    <col min="5" max="5" width="5.33203125" style="61" customWidth="1"/>
    <col min="6" max="6" width="9" style="61" bestFit="1" customWidth="1"/>
    <col min="7" max="7" width="8.5546875" style="61" customWidth="1"/>
    <col min="8" max="8" width="13.33203125" style="61" customWidth="1"/>
    <col min="9" max="9" width="13.33203125" style="61" bestFit="1" customWidth="1"/>
    <col min="10" max="10" width="11" style="67" bestFit="1" customWidth="1"/>
    <col min="11" max="11" width="9.5546875" style="67" bestFit="1" customWidth="1"/>
    <col min="12" max="12" width="18.6640625" style="67" bestFit="1" customWidth="1"/>
    <col min="13" max="13" width="10.5546875" style="61" bestFit="1" customWidth="1"/>
    <col min="14" max="16384" width="9.109375" style="61"/>
  </cols>
  <sheetData>
    <row r="1" spans="1:13" s="60" customFormat="1" ht="13.5" customHeight="1" thickBot="1" x14ac:dyDescent="0.35">
      <c r="A1" s="223"/>
      <c r="B1" s="224"/>
      <c r="C1" s="224"/>
      <c r="D1" s="224"/>
      <c r="E1" s="225"/>
      <c r="F1" s="62"/>
      <c r="G1" s="63"/>
      <c r="H1" s="63"/>
      <c r="I1" s="64"/>
      <c r="J1" s="40"/>
      <c r="K1" s="41"/>
      <c r="L1" s="41"/>
      <c r="M1" s="42"/>
    </row>
    <row r="2" spans="1:13" s="65" customFormat="1" x14ac:dyDescent="0.3">
      <c r="A2" s="43" t="s">
        <v>0</v>
      </c>
      <c r="B2" s="44" t="s">
        <v>106</v>
      </c>
      <c r="C2" s="43" t="s">
        <v>1</v>
      </c>
      <c r="D2" s="43" t="s">
        <v>2</v>
      </c>
      <c r="E2" s="43" t="s">
        <v>3</v>
      </c>
      <c r="F2" s="43" t="s">
        <v>4</v>
      </c>
      <c r="G2" s="43" t="s">
        <v>5</v>
      </c>
      <c r="H2" s="43" t="s">
        <v>6</v>
      </c>
      <c r="I2" s="43" t="s">
        <v>8</v>
      </c>
      <c r="J2" s="45" t="s">
        <v>61</v>
      </c>
      <c r="K2" s="45" t="s">
        <v>60</v>
      </c>
      <c r="L2" s="45" t="s">
        <v>107</v>
      </c>
      <c r="M2" s="46" t="s">
        <v>108</v>
      </c>
    </row>
    <row r="3" spans="1:13" ht="26.4" x14ac:dyDescent="0.3">
      <c r="A3" s="47">
        <v>1</v>
      </c>
      <c r="B3" s="48">
        <v>6000000483</v>
      </c>
      <c r="C3" s="49" t="s">
        <v>103</v>
      </c>
      <c r="D3" s="47" t="s">
        <v>56</v>
      </c>
      <c r="E3" s="47">
        <v>1</v>
      </c>
      <c r="F3" s="47">
        <v>8501</v>
      </c>
      <c r="G3" s="50">
        <v>0.18</v>
      </c>
      <c r="H3" s="51">
        <f>L3*78*1.3</f>
        <v>371631</v>
      </c>
      <c r="I3" s="52">
        <f>H3*E3</f>
        <v>371631</v>
      </c>
      <c r="J3" s="40">
        <f>L3+150</f>
        <v>3815</v>
      </c>
      <c r="K3" s="40">
        <v>4670</v>
      </c>
      <c r="L3" s="40">
        <v>3665</v>
      </c>
      <c r="M3" s="53"/>
    </row>
    <row r="4" spans="1:13" ht="26.4" x14ac:dyDescent="0.3">
      <c r="A4" s="47">
        <v>2</v>
      </c>
      <c r="B4" s="48">
        <v>6000000484</v>
      </c>
      <c r="C4" s="49" t="s">
        <v>104</v>
      </c>
      <c r="D4" s="47" t="s">
        <v>56</v>
      </c>
      <c r="E4" s="47">
        <v>1</v>
      </c>
      <c r="F4" s="47">
        <v>8501</v>
      </c>
      <c r="G4" s="50">
        <v>0.18</v>
      </c>
      <c r="H4" s="51">
        <f t="shared" ref="H4:H6" si="0">L4*78*1.3</f>
        <v>242346</v>
      </c>
      <c r="I4" s="52">
        <f>H4*E4</f>
        <v>242346</v>
      </c>
      <c r="J4" s="40">
        <f>L4+100</f>
        <v>2490</v>
      </c>
      <c r="K4" s="66">
        <v>3000</v>
      </c>
      <c r="L4" s="40">
        <v>2390</v>
      </c>
      <c r="M4" s="53"/>
    </row>
    <row r="5" spans="1:13" ht="39.6" x14ac:dyDescent="0.3">
      <c r="A5" s="47">
        <v>3</v>
      </c>
      <c r="B5" s="48">
        <v>4000015214</v>
      </c>
      <c r="C5" s="49" t="s">
        <v>101</v>
      </c>
      <c r="D5" s="47" t="s">
        <v>56</v>
      </c>
      <c r="E5" s="47">
        <v>1</v>
      </c>
      <c r="F5" s="47">
        <v>8501</v>
      </c>
      <c r="G5" s="50">
        <v>0.18</v>
      </c>
      <c r="H5" s="51">
        <f t="shared" si="0"/>
        <v>83655</v>
      </c>
      <c r="I5" s="52">
        <f>H5*E5</f>
        <v>83655</v>
      </c>
      <c r="J5" s="40">
        <f>K5+100</f>
        <v>906</v>
      </c>
      <c r="K5" s="66">
        <v>806</v>
      </c>
      <c r="L5" s="40">
        <v>825</v>
      </c>
      <c r="M5" s="53"/>
    </row>
    <row r="6" spans="1:13" ht="26.4" x14ac:dyDescent="0.3">
      <c r="A6" s="47">
        <v>4</v>
      </c>
      <c r="B6" s="48">
        <v>4000015215</v>
      </c>
      <c r="C6" s="49" t="s">
        <v>102</v>
      </c>
      <c r="D6" s="47" t="s">
        <v>56</v>
      </c>
      <c r="E6" s="47">
        <v>1</v>
      </c>
      <c r="F6" s="47">
        <v>8501</v>
      </c>
      <c r="G6" s="50">
        <v>0.18</v>
      </c>
      <c r="H6" s="51">
        <f t="shared" si="0"/>
        <v>251979</v>
      </c>
      <c r="I6" s="52">
        <f t="shared" ref="I6:I7" si="1">H6*E6</f>
        <v>251979</v>
      </c>
      <c r="J6" s="40">
        <f>K6</f>
        <v>2465</v>
      </c>
      <c r="K6" s="66">
        <v>2465</v>
      </c>
      <c r="L6" s="40">
        <v>2485</v>
      </c>
      <c r="M6" s="53"/>
    </row>
    <row r="7" spans="1:13" ht="79.2" x14ac:dyDescent="0.3">
      <c r="A7" s="47">
        <v>5</v>
      </c>
      <c r="B7" s="48">
        <v>6000000471</v>
      </c>
      <c r="C7" s="49" t="s">
        <v>105</v>
      </c>
      <c r="D7" s="47" t="s">
        <v>56</v>
      </c>
      <c r="E7" s="47">
        <v>1</v>
      </c>
      <c r="F7" s="47">
        <v>8501</v>
      </c>
      <c r="G7" s="50">
        <v>0.18</v>
      </c>
      <c r="H7" s="69">
        <v>528970</v>
      </c>
      <c r="I7" s="52">
        <f t="shared" si="1"/>
        <v>528970</v>
      </c>
      <c r="J7" s="40"/>
      <c r="K7" s="66"/>
      <c r="L7" s="40"/>
      <c r="M7" s="53"/>
    </row>
    <row r="8" spans="1:13" x14ac:dyDescent="0.3">
      <c r="A8" s="47">
        <v>6</v>
      </c>
      <c r="B8" s="226" t="s">
        <v>98</v>
      </c>
      <c r="C8" s="226"/>
      <c r="D8" s="226"/>
      <c r="E8" s="226"/>
      <c r="F8" s="226"/>
      <c r="G8" s="226"/>
      <c r="H8" s="226"/>
      <c r="I8" s="68">
        <f>SUM(I3:I7)</f>
        <v>1478581</v>
      </c>
      <c r="J8" s="40"/>
      <c r="K8" s="40"/>
      <c r="L8" s="40"/>
      <c r="M8" s="54"/>
    </row>
    <row r="9" spans="1:13" x14ac:dyDescent="0.3">
      <c r="A9" s="47">
        <v>7</v>
      </c>
      <c r="B9" s="226" t="s">
        <v>99</v>
      </c>
      <c r="C9" s="226"/>
      <c r="D9" s="226"/>
      <c r="E9" s="226"/>
      <c r="F9" s="226"/>
      <c r="G9" s="226"/>
      <c r="H9" s="226"/>
      <c r="I9" s="68">
        <f>I8*18%</f>
        <v>266144.58</v>
      </c>
      <c r="J9" s="40"/>
      <c r="K9" s="40"/>
      <c r="L9" s="40"/>
      <c r="M9" s="54"/>
    </row>
    <row r="10" spans="1:13" ht="13.8" thickBot="1" x14ac:dyDescent="0.35">
      <c r="A10" s="47">
        <v>8</v>
      </c>
      <c r="B10" s="226" t="s">
        <v>9</v>
      </c>
      <c r="C10" s="226"/>
      <c r="D10" s="226"/>
      <c r="E10" s="226"/>
      <c r="F10" s="226"/>
      <c r="G10" s="226"/>
      <c r="H10" s="226"/>
      <c r="I10" s="68">
        <f>I8+I9</f>
        <v>1744725.58</v>
      </c>
      <c r="J10" s="40"/>
      <c r="K10" s="40"/>
      <c r="L10" s="40"/>
      <c r="M10" s="54"/>
    </row>
    <row r="11" spans="1:13" x14ac:dyDescent="0.3">
      <c r="A11" s="55"/>
      <c r="B11" s="227"/>
      <c r="C11" s="227"/>
      <c r="D11" s="227"/>
      <c r="E11" s="227"/>
      <c r="F11" s="227"/>
      <c r="G11" s="227"/>
      <c r="H11" s="227"/>
      <c r="I11" s="228"/>
      <c r="J11" s="56"/>
      <c r="K11" s="40"/>
      <c r="L11" s="40"/>
      <c r="M11" s="54"/>
    </row>
    <row r="12" spans="1:13" s="54" customFormat="1" x14ac:dyDescent="0.3">
      <c r="A12" s="229" t="s">
        <v>12</v>
      </c>
      <c r="B12" s="230"/>
      <c r="C12" s="230"/>
      <c r="D12" s="230"/>
      <c r="E12" s="230"/>
      <c r="F12" s="230"/>
      <c r="G12" s="230"/>
      <c r="H12" s="230"/>
      <c r="I12" s="231"/>
      <c r="J12" s="57"/>
      <c r="K12" s="40"/>
    </row>
    <row r="13" spans="1:13" s="54" customFormat="1" ht="118.8" x14ac:dyDescent="0.3">
      <c r="A13" s="58" t="s">
        <v>13</v>
      </c>
      <c r="B13" s="221" t="s">
        <v>73</v>
      </c>
      <c r="C13" s="221"/>
      <c r="D13" s="221"/>
      <c r="E13" s="221"/>
      <c r="F13" s="221"/>
      <c r="G13" s="221"/>
      <c r="H13" s="221"/>
      <c r="I13" s="222"/>
      <c r="J13" s="59"/>
      <c r="K13" s="40"/>
    </row>
  </sheetData>
  <mergeCells count="7">
    <mergeCell ref="B13:I13"/>
    <mergeCell ref="A1:E1"/>
    <mergeCell ref="B8:H8"/>
    <mergeCell ref="B9:H9"/>
    <mergeCell ref="B10:H10"/>
    <mergeCell ref="B11:I11"/>
    <mergeCell ref="A12:I12"/>
  </mergeCells>
  <hyperlinks>
    <hyperlink ref="B12" r:id="rId1" display="CST@2%" xr:uid="{00000000-0004-0000-06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9"/>
  <sheetViews>
    <sheetView topLeftCell="A10" workbookViewId="0">
      <selection activeCell="B14" sqref="B14:H14"/>
    </sheetView>
  </sheetViews>
  <sheetFormatPr defaultColWidth="9.109375" defaultRowHeight="13.2" x14ac:dyDescent="0.3"/>
  <cols>
    <col min="1" max="1" width="6.109375" style="60" customWidth="1"/>
    <col min="2" max="2" width="14" style="54" bestFit="1" customWidth="1"/>
    <col min="3" max="3" width="45" style="54" customWidth="1"/>
    <col min="4" max="4" width="5.88671875" style="61" bestFit="1" customWidth="1"/>
    <col min="5" max="5" width="5.33203125" style="61" customWidth="1"/>
    <col min="6" max="6" width="9" style="61" bestFit="1" customWidth="1"/>
    <col min="7" max="7" width="8.5546875" style="61" customWidth="1"/>
    <col min="8" max="8" width="13.33203125" style="61" customWidth="1"/>
    <col min="9" max="9" width="13.33203125" style="61" bestFit="1" customWidth="1"/>
    <col min="10" max="10" width="11" style="67" bestFit="1" customWidth="1"/>
    <col min="11" max="11" width="10.5546875" style="67" bestFit="1" customWidth="1"/>
    <col min="12" max="12" width="8.6640625" style="67" bestFit="1" customWidth="1"/>
    <col min="13" max="13" width="10.5546875" style="61" bestFit="1" customWidth="1"/>
    <col min="14" max="16384" width="9.109375" style="61"/>
  </cols>
  <sheetData>
    <row r="1" spans="1:13" s="60" customFormat="1" ht="13.8" thickBot="1" x14ac:dyDescent="0.35">
      <c r="A1" s="223"/>
      <c r="B1" s="224"/>
      <c r="C1" s="224"/>
      <c r="D1" s="224"/>
      <c r="E1" s="225"/>
      <c r="F1" s="62"/>
      <c r="G1" s="63"/>
      <c r="H1" s="63"/>
      <c r="I1" s="64"/>
      <c r="J1" s="40"/>
      <c r="K1" s="41"/>
      <c r="L1" s="41"/>
      <c r="M1" s="42"/>
    </row>
    <row r="2" spans="1:13" s="65" customFormat="1" x14ac:dyDescent="0.3">
      <c r="A2" s="43" t="s">
        <v>0</v>
      </c>
      <c r="B2" s="44" t="s">
        <v>119</v>
      </c>
      <c r="C2" s="43" t="s">
        <v>1</v>
      </c>
      <c r="D2" s="43" t="s">
        <v>2</v>
      </c>
      <c r="E2" s="43" t="s">
        <v>3</v>
      </c>
      <c r="F2" s="43" t="s">
        <v>4</v>
      </c>
      <c r="G2" s="43" t="s">
        <v>5</v>
      </c>
      <c r="H2" s="43" t="s">
        <v>6</v>
      </c>
      <c r="I2" s="43" t="s">
        <v>8</v>
      </c>
      <c r="J2" s="45" t="s">
        <v>61</v>
      </c>
      <c r="K2" s="45" t="s">
        <v>60</v>
      </c>
      <c r="L2" s="45" t="s">
        <v>107</v>
      </c>
      <c r="M2" s="46" t="s">
        <v>108</v>
      </c>
    </row>
    <row r="3" spans="1:13" ht="39.6" x14ac:dyDescent="0.3">
      <c r="A3" s="47">
        <v>1</v>
      </c>
      <c r="B3" s="48">
        <v>1200000278</v>
      </c>
      <c r="C3" s="49" t="s">
        <v>145</v>
      </c>
      <c r="D3" s="47" t="s">
        <v>56</v>
      </c>
      <c r="E3" s="47">
        <v>1</v>
      </c>
      <c r="F3" s="47">
        <v>8501</v>
      </c>
      <c r="G3" s="50">
        <v>0.18</v>
      </c>
      <c r="H3" s="51">
        <f>J3*80*1.32</f>
        <v>242880</v>
      </c>
      <c r="I3" s="52">
        <f>H3*E3</f>
        <v>242880</v>
      </c>
      <c r="J3" s="40">
        <v>2300</v>
      </c>
      <c r="K3" s="73">
        <v>2200</v>
      </c>
      <c r="L3" s="70"/>
      <c r="M3" s="72"/>
    </row>
    <row r="4" spans="1:13" ht="79.2" x14ac:dyDescent="0.3">
      <c r="A4" s="47">
        <v>2</v>
      </c>
      <c r="B4" s="48">
        <v>1200000278</v>
      </c>
      <c r="C4" s="49" t="s">
        <v>115</v>
      </c>
      <c r="D4" s="47" t="s">
        <v>56</v>
      </c>
      <c r="E4" s="47">
        <v>2</v>
      </c>
      <c r="F4" s="47">
        <v>8501</v>
      </c>
      <c r="G4" s="50">
        <v>0.18</v>
      </c>
      <c r="H4" s="51">
        <f>J4*80*1.32</f>
        <v>16368</v>
      </c>
      <c r="I4" s="52">
        <f>H4*E4</f>
        <v>32736</v>
      </c>
      <c r="J4" s="40">
        <f>K4+20</f>
        <v>155</v>
      </c>
      <c r="K4" s="73">
        <v>135</v>
      </c>
      <c r="L4" s="70"/>
      <c r="M4" s="72"/>
    </row>
    <row r="5" spans="1:13" ht="66" x14ac:dyDescent="0.3">
      <c r="A5" s="47">
        <v>3</v>
      </c>
      <c r="B5" s="48">
        <v>1200000278</v>
      </c>
      <c r="C5" s="49" t="s">
        <v>146</v>
      </c>
      <c r="D5" s="47" t="s">
        <v>56</v>
      </c>
      <c r="E5" s="47">
        <v>2</v>
      </c>
      <c r="F5" s="47">
        <v>8501</v>
      </c>
      <c r="G5" s="50">
        <v>0.18</v>
      </c>
      <c r="H5" s="51">
        <f t="shared" ref="H5:H13" si="0">J5*80*1.32</f>
        <v>102960</v>
      </c>
      <c r="I5" s="52">
        <f>H5*E5</f>
        <v>205920</v>
      </c>
      <c r="J5" s="40">
        <f>K5+30</f>
        <v>975</v>
      </c>
      <c r="K5" s="74">
        <v>945</v>
      </c>
      <c r="L5" s="70" t="s">
        <v>147</v>
      </c>
      <c r="M5" s="72"/>
    </row>
    <row r="6" spans="1:13" ht="39.6" x14ac:dyDescent="0.3">
      <c r="A6" s="47">
        <v>4</v>
      </c>
      <c r="B6" s="48">
        <v>1200000278</v>
      </c>
      <c r="C6" s="49" t="s">
        <v>114</v>
      </c>
      <c r="D6" s="47" t="s">
        <v>56</v>
      </c>
      <c r="E6" s="47">
        <v>1</v>
      </c>
      <c r="F6" s="47">
        <v>8501</v>
      </c>
      <c r="G6" s="50">
        <v>0.18</v>
      </c>
      <c r="H6" s="51">
        <f t="shared" si="0"/>
        <v>87436.800000000003</v>
      </c>
      <c r="I6" s="52">
        <f>H6*E6</f>
        <v>87436.800000000003</v>
      </c>
      <c r="J6" s="40">
        <f>K6+30</f>
        <v>828</v>
      </c>
      <c r="K6" s="74">
        <v>798</v>
      </c>
      <c r="L6" s="70"/>
      <c r="M6" s="72"/>
    </row>
    <row r="7" spans="1:13" ht="52.8" x14ac:dyDescent="0.3">
      <c r="A7" s="47">
        <v>5</v>
      </c>
      <c r="B7" s="75" t="s">
        <v>121</v>
      </c>
      <c r="C7" s="49" t="s">
        <v>110</v>
      </c>
      <c r="D7" s="47" t="s">
        <v>56</v>
      </c>
      <c r="E7" s="47">
        <v>1</v>
      </c>
      <c r="F7" s="47">
        <v>8501</v>
      </c>
      <c r="G7" s="50">
        <v>0.18</v>
      </c>
      <c r="H7" s="51">
        <f t="shared" si="0"/>
        <v>22704</v>
      </c>
      <c r="I7" s="52">
        <f t="shared" ref="I7" si="1">H7*E7</f>
        <v>22704</v>
      </c>
      <c r="J7" s="40">
        <f>K7+20</f>
        <v>215</v>
      </c>
      <c r="K7" s="74">
        <v>195</v>
      </c>
      <c r="L7" s="70"/>
      <c r="M7" s="72"/>
    </row>
    <row r="8" spans="1:13" ht="66" x14ac:dyDescent="0.3">
      <c r="A8" s="47">
        <v>6</v>
      </c>
      <c r="B8" s="48">
        <v>1200000278</v>
      </c>
      <c r="C8" s="49" t="s">
        <v>111</v>
      </c>
      <c r="D8" s="47" t="s">
        <v>56</v>
      </c>
      <c r="E8" s="47">
        <v>2</v>
      </c>
      <c r="F8" s="47">
        <v>8501</v>
      </c>
      <c r="G8" s="50">
        <v>0.18</v>
      </c>
      <c r="H8" s="76" t="s">
        <v>120</v>
      </c>
      <c r="I8" s="52">
        <v>0</v>
      </c>
      <c r="J8" s="40"/>
      <c r="K8" s="74"/>
      <c r="L8" s="70"/>
      <c r="M8" s="72"/>
    </row>
    <row r="9" spans="1:13" ht="52.8" x14ac:dyDescent="0.3">
      <c r="A9" s="47">
        <v>7</v>
      </c>
      <c r="B9" s="48">
        <v>1200000278</v>
      </c>
      <c r="C9" s="49" t="s">
        <v>116</v>
      </c>
      <c r="D9" s="47" t="s">
        <v>56</v>
      </c>
      <c r="E9" s="47">
        <v>2</v>
      </c>
      <c r="F9" s="47">
        <v>8501</v>
      </c>
      <c r="G9" s="50">
        <v>0.18</v>
      </c>
      <c r="H9" s="51">
        <f t="shared" si="0"/>
        <v>27350.400000000001</v>
      </c>
      <c r="I9" s="52">
        <f>H9*E9</f>
        <v>54700.800000000003</v>
      </c>
      <c r="J9" s="40">
        <f>K9+20</f>
        <v>259</v>
      </c>
      <c r="K9" s="73">
        <v>239</v>
      </c>
      <c r="L9" s="70"/>
      <c r="M9" s="72"/>
    </row>
    <row r="10" spans="1:13" ht="66" x14ac:dyDescent="0.3">
      <c r="A10" s="47">
        <v>8</v>
      </c>
      <c r="B10" s="48">
        <v>1200000278</v>
      </c>
      <c r="C10" s="49" t="s">
        <v>112</v>
      </c>
      <c r="D10" s="47" t="s">
        <v>56</v>
      </c>
      <c r="E10" s="47">
        <v>1</v>
      </c>
      <c r="F10" s="47">
        <v>8501</v>
      </c>
      <c r="G10" s="50">
        <v>0.18</v>
      </c>
      <c r="H10" s="76" t="s">
        <v>120</v>
      </c>
      <c r="I10" s="52">
        <v>0</v>
      </c>
      <c r="J10" s="40"/>
      <c r="K10" s="74"/>
      <c r="L10" s="71"/>
      <c r="M10" s="72"/>
    </row>
    <row r="11" spans="1:13" ht="79.2" x14ac:dyDescent="0.3">
      <c r="A11" s="47">
        <v>9</v>
      </c>
      <c r="B11" s="48">
        <v>1200000278</v>
      </c>
      <c r="C11" s="49" t="s">
        <v>118</v>
      </c>
      <c r="D11" s="47" t="s">
        <v>56</v>
      </c>
      <c r="E11" s="47">
        <v>1</v>
      </c>
      <c r="F11" s="47">
        <v>8501</v>
      </c>
      <c r="G11" s="50">
        <v>0.18</v>
      </c>
      <c r="H11" s="51">
        <f t="shared" si="0"/>
        <v>160512</v>
      </c>
      <c r="I11" s="52">
        <f>H11*E11</f>
        <v>160512</v>
      </c>
      <c r="J11" s="40">
        <f>K11+70</f>
        <v>1520</v>
      </c>
      <c r="K11" s="74">
        <v>1450</v>
      </c>
      <c r="L11" s="70"/>
      <c r="M11" s="72"/>
    </row>
    <row r="12" spans="1:13" ht="52.8" x14ac:dyDescent="0.3">
      <c r="A12" s="47">
        <v>10</v>
      </c>
      <c r="B12" s="48">
        <v>1200000278</v>
      </c>
      <c r="C12" s="49" t="s">
        <v>117</v>
      </c>
      <c r="D12" s="47" t="s">
        <v>56</v>
      </c>
      <c r="E12" s="47">
        <v>3</v>
      </c>
      <c r="F12" s="47">
        <v>8501</v>
      </c>
      <c r="G12" s="50">
        <v>0.18</v>
      </c>
      <c r="H12" s="51">
        <f t="shared" si="0"/>
        <v>12249.6</v>
      </c>
      <c r="I12" s="52">
        <f t="shared" ref="I12:I13" si="2">H12*E12</f>
        <v>36748.800000000003</v>
      </c>
      <c r="J12" s="40">
        <f>K12+20</f>
        <v>116</v>
      </c>
      <c r="K12" s="74">
        <v>96</v>
      </c>
      <c r="L12" s="70"/>
      <c r="M12" s="72">
        <v>1</v>
      </c>
    </row>
    <row r="13" spans="1:13" ht="52.8" x14ac:dyDescent="0.3">
      <c r="A13" s="47">
        <v>11</v>
      </c>
      <c r="B13" s="48">
        <v>1200000278</v>
      </c>
      <c r="C13" s="49" t="s">
        <v>113</v>
      </c>
      <c r="D13" s="47" t="s">
        <v>56</v>
      </c>
      <c r="E13" s="47">
        <v>1</v>
      </c>
      <c r="F13" s="47">
        <v>8501</v>
      </c>
      <c r="G13" s="50">
        <v>0.18</v>
      </c>
      <c r="H13" s="51">
        <f t="shared" si="0"/>
        <v>408672</v>
      </c>
      <c r="I13" s="52">
        <f t="shared" si="2"/>
        <v>408672</v>
      </c>
      <c r="J13" s="40">
        <f>K13+70</f>
        <v>3870</v>
      </c>
      <c r="K13" s="74">
        <v>3800</v>
      </c>
      <c r="L13" s="40"/>
      <c r="M13" s="53"/>
    </row>
    <row r="14" spans="1:13" x14ac:dyDescent="0.3">
      <c r="A14" s="47">
        <v>12</v>
      </c>
      <c r="B14" s="226" t="s">
        <v>98</v>
      </c>
      <c r="C14" s="226"/>
      <c r="D14" s="226"/>
      <c r="E14" s="226"/>
      <c r="F14" s="226"/>
      <c r="G14" s="226"/>
      <c r="H14" s="226"/>
      <c r="I14" s="68">
        <f>SUM(I4:I13)</f>
        <v>1009430.4</v>
      </c>
      <c r="J14" s="40"/>
      <c r="K14" s="40"/>
      <c r="L14" s="40"/>
      <c r="M14" s="54"/>
    </row>
    <row r="15" spans="1:13" x14ac:dyDescent="0.3">
      <c r="A15" s="47">
        <v>13</v>
      </c>
      <c r="B15" s="226" t="s">
        <v>99</v>
      </c>
      <c r="C15" s="226"/>
      <c r="D15" s="226"/>
      <c r="E15" s="226"/>
      <c r="F15" s="226"/>
      <c r="G15" s="226"/>
      <c r="H15" s="226"/>
      <c r="I15" s="68">
        <f>I14*18%</f>
        <v>181697.47200000001</v>
      </c>
      <c r="J15" s="40"/>
      <c r="K15" s="40"/>
      <c r="L15" s="40"/>
      <c r="M15" s="54"/>
    </row>
    <row r="16" spans="1:13" ht="13.8" thickBot="1" x14ac:dyDescent="0.35">
      <c r="A16" s="47">
        <v>14</v>
      </c>
      <c r="B16" s="226" t="s">
        <v>9</v>
      </c>
      <c r="C16" s="226"/>
      <c r="D16" s="226"/>
      <c r="E16" s="226"/>
      <c r="F16" s="226"/>
      <c r="G16" s="226"/>
      <c r="H16" s="226"/>
      <c r="I16" s="68">
        <f>I14+I15</f>
        <v>1191127.872</v>
      </c>
      <c r="J16" s="40"/>
      <c r="K16" s="40"/>
      <c r="L16" s="40"/>
      <c r="M16" s="54"/>
    </row>
    <row r="17" spans="1:9" x14ac:dyDescent="0.3">
      <c r="A17" s="55"/>
      <c r="B17" s="227"/>
      <c r="C17" s="227"/>
      <c r="D17" s="227"/>
      <c r="E17" s="227"/>
      <c r="F17" s="227"/>
      <c r="G17" s="227"/>
      <c r="H17" s="227"/>
      <c r="I17" s="228"/>
    </row>
    <row r="18" spans="1:9" s="54" customFormat="1" x14ac:dyDescent="0.3">
      <c r="A18" s="229" t="s">
        <v>12</v>
      </c>
      <c r="B18" s="230"/>
      <c r="C18" s="230"/>
      <c r="D18" s="230"/>
      <c r="E18" s="230"/>
      <c r="F18" s="230"/>
      <c r="G18" s="230"/>
      <c r="H18" s="230"/>
      <c r="I18" s="231"/>
    </row>
    <row r="19" spans="1:9" s="54" customFormat="1" ht="118.8" x14ac:dyDescent="0.3">
      <c r="A19" s="58" t="s">
        <v>13</v>
      </c>
      <c r="B19" s="221" t="s">
        <v>73</v>
      </c>
      <c r="C19" s="221"/>
      <c r="D19" s="221"/>
      <c r="E19" s="221"/>
      <c r="F19" s="221"/>
      <c r="G19" s="221"/>
      <c r="H19" s="221"/>
      <c r="I19" s="222"/>
    </row>
  </sheetData>
  <mergeCells count="7">
    <mergeCell ref="B19:I19"/>
    <mergeCell ref="A1:E1"/>
    <mergeCell ref="B14:H14"/>
    <mergeCell ref="B15:H15"/>
    <mergeCell ref="B16:H16"/>
    <mergeCell ref="B17:I17"/>
    <mergeCell ref="A18:I18"/>
  </mergeCells>
  <hyperlinks>
    <hyperlink ref="B18" r:id="rId1" display="CST@2%" xr:uid="{00000000-0004-0000-07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"/>
  <sheetViews>
    <sheetView workbookViewId="0">
      <selection activeCell="I4" sqref="I4"/>
    </sheetView>
  </sheetViews>
  <sheetFormatPr defaultColWidth="9.109375" defaultRowHeight="13.2" x14ac:dyDescent="0.3"/>
  <cols>
    <col min="1" max="1" width="6.109375" style="60" customWidth="1"/>
    <col min="2" max="2" width="14" style="54" bestFit="1" customWidth="1"/>
    <col min="3" max="3" width="45" style="54" customWidth="1"/>
    <col min="4" max="4" width="5.88671875" style="61" bestFit="1" customWidth="1"/>
    <col min="5" max="5" width="5.33203125" style="61" customWidth="1"/>
    <col min="6" max="6" width="9" style="61" bestFit="1" customWidth="1"/>
    <col min="7" max="7" width="8.5546875" style="61" customWidth="1"/>
    <col min="8" max="8" width="13.33203125" style="61" customWidth="1"/>
    <col min="9" max="9" width="15.33203125" style="61" bestFit="1" customWidth="1"/>
    <col min="10" max="10" width="13.33203125" style="67" bestFit="1" customWidth="1"/>
    <col min="11" max="11" width="14.44140625" style="67" bestFit="1" customWidth="1"/>
    <col min="12" max="12" width="14.33203125" style="67" bestFit="1" customWidth="1"/>
    <col min="13" max="13" width="10.5546875" style="61" bestFit="1" customWidth="1"/>
    <col min="14" max="16384" width="9.109375" style="61"/>
  </cols>
  <sheetData>
    <row r="1" spans="1:13" s="60" customFormat="1" ht="13.8" thickBot="1" x14ac:dyDescent="0.35">
      <c r="A1" s="223"/>
      <c r="B1" s="224"/>
      <c r="C1" s="224"/>
      <c r="D1" s="224"/>
      <c r="E1" s="225"/>
      <c r="F1" s="62"/>
      <c r="G1" s="63"/>
      <c r="H1" s="63"/>
      <c r="I1" s="64"/>
      <c r="J1" s="40"/>
      <c r="K1" s="41"/>
      <c r="L1" s="41"/>
      <c r="M1" s="42"/>
    </row>
    <row r="2" spans="1:13" s="65" customFormat="1" x14ac:dyDescent="0.3">
      <c r="A2" s="43" t="s">
        <v>0</v>
      </c>
      <c r="B2" s="44" t="s">
        <v>119</v>
      </c>
      <c r="C2" s="43" t="s">
        <v>1</v>
      </c>
      <c r="D2" s="43" t="s">
        <v>2</v>
      </c>
      <c r="E2" s="43" t="s">
        <v>3</v>
      </c>
      <c r="F2" s="43" t="s">
        <v>4</v>
      </c>
      <c r="G2" s="43" t="s">
        <v>5</v>
      </c>
      <c r="H2" s="43" t="s">
        <v>6</v>
      </c>
      <c r="I2" s="43" t="s">
        <v>8</v>
      </c>
      <c r="J2" s="45" t="s">
        <v>61</v>
      </c>
      <c r="K2" s="45" t="s">
        <v>123</v>
      </c>
      <c r="L2" s="45" t="s">
        <v>124</v>
      </c>
      <c r="M2" s="46" t="s">
        <v>108</v>
      </c>
    </row>
    <row r="3" spans="1:13" ht="92.4" x14ac:dyDescent="0.3">
      <c r="A3" s="47">
        <v>1</v>
      </c>
      <c r="B3" s="48" t="s">
        <v>122</v>
      </c>
      <c r="C3" s="49" t="s">
        <v>125</v>
      </c>
      <c r="D3" s="47" t="s">
        <v>127</v>
      </c>
      <c r="E3" s="47">
        <v>1</v>
      </c>
      <c r="F3" s="47">
        <v>8402</v>
      </c>
      <c r="G3" s="50">
        <v>0.18</v>
      </c>
      <c r="H3" s="51">
        <f>J3*1.1</f>
        <v>8250000.0000000009</v>
      </c>
      <c r="I3" s="52">
        <f>H3*E3</f>
        <v>8250000.0000000009</v>
      </c>
      <c r="J3" s="40">
        <v>7500000</v>
      </c>
      <c r="K3" s="77">
        <v>7300000</v>
      </c>
      <c r="L3" s="77">
        <v>4563000</v>
      </c>
      <c r="M3" s="72"/>
    </row>
    <row r="4" spans="1:13" ht="105.6" x14ac:dyDescent="0.3">
      <c r="A4" s="47">
        <v>2</v>
      </c>
      <c r="B4" s="48" t="s">
        <v>122</v>
      </c>
      <c r="C4" s="49" t="s">
        <v>126</v>
      </c>
      <c r="D4" s="47" t="s">
        <v>127</v>
      </c>
      <c r="E4" s="47">
        <v>1</v>
      </c>
      <c r="F4" s="47">
        <v>8402</v>
      </c>
      <c r="G4" s="50">
        <v>0.18</v>
      </c>
      <c r="H4" s="51">
        <f>J4*1.1</f>
        <v>8250000.0000000009</v>
      </c>
      <c r="I4" s="52">
        <f>H4*E4</f>
        <v>8250000.0000000009</v>
      </c>
      <c r="J4" s="40">
        <v>7500000</v>
      </c>
      <c r="K4" s="77">
        <v>7300000</v>
      </c>
      <c r="L4" s="77">
        <v>4563000</v>
      </c>
      <c r="M4" s="72"/>
    </row>
    <row r="5" spans="1:13" x14ac:dyDescent="0.3">
      <c r="A5" s="47">
        <v>3</v>
      </c>
      <c r="B5" s="226" t="s">
        <v>98</v>
      </c>
      <c r="C5" s="226"/>
      <c r="D5" s="226"/>
      <c r="E5" s="226"/>
      <c r="F5" s="226"/>
      <c r="G5" s="226"/>
      <c r="H5" s="226"/>
      <c r="I5" s="68">
        <f>SUM(I3:I4)</f>
        <v>16500000.000000002</v>
      </c>
      <c r="J5" s="40"/>
      <c r="K5" s="40"/>
      <c r="L5" s="40"/>
      <c r="M5" s="54"/>
    </row>
    <row r="6" spans="1:13" x14ac:dyDescent="0.3">
      <c r="A6" s="47">
        <v>4</v>
      </c>
      <c r="B6" s="226" t="s">
        <v>99</v>
      </c>
      <c r="C6" s="226"/>
      <c r="D6" s="226"/>
      <c r="E6" s="226"/>
      <c r="F6" s="226"/>
      <c r="G6" s="226"/>
      <c r="H6" s="226"/>
      <c r="I6" s="68">
        <f>I5*18%</f>
        <v>2970000</v>
      </c>
      <c r="J6" s="40"/>
      <c r="K6" s="40"/>
      <c r="L6" s="40"/>
      <c r="M6" s="54"/>
    </row>
    <row r="7" spans="1:13" ht="13.8" thickBot="1" x14ac:dyDescent="0.35">
      <c r="A7" s="47">
        <v>5</v>
      </c>
      <c r="B7" s="226" t="s">
        <v>9</v>
      </c>
      <c r="C7" s="226"/>
      <c r="D7" s="226"/>
      <c r="E7" s="226"/>
      <c r="F7" s="226"/>
      <c r="G7" s="226"/>
      <c r="H7" s="226"/>
      <c r="I7" s="68">
        <f>I5+I6</f>
        <v>19470000</v>
      </c>
      <c r="J7" s="40"/>
      <c r="K7" s="40"/>
      <c r="L7" s="40"/>
      <c r="M7" s="54"/>
    </row>
    <row r="8" spans="1:13" ht="33" customHeight="1" x14ac:dyDescent="0.3">
      <c r="A8" s="55" t="s">
        <v>128</v>
      </c>
      <c r="B8" s="227" t="s">
        <v>131</v>
      </c>
      <c r="C8" s="227"/>
      <c r="D8" s="227"/>
      <c r="E8" s="227"/>
      <c r="F8" s="227"/>
      <c r="G8" s="227"/>
      <c r="H8" s="227"/>
      <c r="I8" s="228"/>
      <c r="J8" s="56"/>
      <c r="K8" s="40"/>
      <c r="L8" s="40"/>
      <c r="M8" s="54"/>
    </row>
    <row r="9" spans="1:13" s="54" customFormat="1" x14ac:dyDescent="0.3">
      <c r="A9" s="229" t="s">
        <v>12</v>
      </c>
      <c r="B9" s="230"/>
      <c r="C9" s="230"/>
      <c r="D9" s="230"/>
      <c r="E9" s="230"/>
      <c r="F9" s="230"/>
      <c r="G9" s="230"/>
      <c r="H9" s="230"/>
      <c r="I9" s="231"/>
      <c r="J9" s="57"/>
      <c r="K9" s="40"/>
    </row>
    <row r="10" spans="1:13" s="54" customFormat="1" ht="105.6" x14ac:dyDescent="0.3">
      <c r="A10" s="58" t="s">
        <v>129</v>
      </c>
      <c r="B10" s="221" t="s">
        <v>130</v>
      </c>
      <c r="C10" s="221"/>
      <c r="D10" s="221"/>
      <c r="E10" s="221"/>
      <c r="F10" s="221"/>
      <c r="G10" s="221"/>
      <c r="H10" s="221"/>
      <c r="I10" s="222"/>
      <c r="J10" s="59"/>
      <c r="K10" s="40"/>
    </row>
  </sheetData>
  <mergeCells count="7">
    <mergeCell ref="B10:I10"/>
    <mergeCell ref="A1:E1"/>
    <mergeCell ref="B5:H5"/>
    <mergeCell ref="B6:H6"/>
    <mergeCell ref="B7:H7"/>
    <mergeCell ref="B8:I8"/>
    <mergeCell ref="A9:I9"/>
  </mergeCells>
  <hyperlinks>
    <hyperlink ref="B9" r:id="rId1" display="CST@2%" xr:uid="{00000000-0004-0000-08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2"/>
  <sheetViews>
    <sheetView topLeftCell="A3" workbookViewId="0">
      <selection activeCell="B6" sqref="B6"/>
    </sheetView>
  </sheetViews>
  <sheetFormatPr defaultColWidth="9.109375" defaultRowHeight="13.2" x14ac:dyDescent="0.3"/>
  <cols>
    <col min="1" max="1" width="6.109375" style="60" customWidth="1"/>
    <col min="2" max="2" width="11.6640625" style="54" customWidth="1"/>
    <col min="3" max="3" width="45" style="54" customWidth="1"/>
    <col min="4" max="4" width="5.88671875" style="61" bestFit="1" customWidth="1"/>
    <col min="5" max="5" width="5.33203125" style="61" customWidth="1"/>
    <col min="6" max="6" width="9" style="61" bestFit="1" customWidth="1"/>
    <col min="7" max="7" width="8.5546875" style="61" customWidth="1"/>
    <col min="8" max="8" width="13.33203125" style="61" customWidth="1"/>
    <col min="9" max="9" width="13.33203125" style="61" bestFit="1" customWidth="1"/>
    <col min="10" max="10" width="11" style="67" bestFit="1" customWidth="1"/>
    <col min="11" max="11" width="9.109375" style="67"/>
    <col min="12" max="12" width="18.6640625" style="67" bestFit="1" customWidth="1"/>
    <col min="13" max="13" width="10.5546875" style="61" bestFit="1" customWidth="1"/>
    <col min="14" max="16384" width="9.109375" style="61"/>
  </cols>
  <sheetData>
    <row r="1" spans="1:12" s="60" customFormat="1" ht="13.5" customHeight="1" thickBot="1" x14ac:dyDescent="0.35">
      <c r="A1" s="223"/>
      <c r="B1" s="224"/>
      <c r="C1" s="224"/>
      <c r="D1" s="224"/>
      <c r="E1" s="225"/>
      <c r="F1" s="62"/>
      <c r="G1" s="63"/>
      <c r="H1" s="63"/>
      <c r="I1" s="64"/>
      <c r="J1" s="40"/>
      <c r="K1" s="41"/>
      <c r="L1" s="41"/>
    </row>
    <row r="2" spans="1:12" s="65" customFormat="1" x14ac:dyDescent="0.3">
      <c r="A2" s="43" t="s">
        <v>0</v>
      </c>
      <c r="B2" s="44" t="s">
        <v>96</v>
      </c>
      <c r="C2" s="43" t="s">
        <v>1</v>
      </c>
      <c r="D2" s="43" t="s">
        <v>2</v>
      </c>
      <c r="E2" s="43" t="s">
        <v>3</v>
      </c>
      <c r="F2" s="43" t="s">
        <v>4</v>
      </c>
      <c r="G2" s="43" t="s">
        <v>5</v>
      </c>
      <c r="H2" s="43" t="s">
        <v>6</v>
      </c>
      <c r="I2" s="43" t="s">
        <v>8</v>
      </c>
      <c r="J2" s="45" t="s">
        <v>61</v>
      </c>
      <c r="K2" s="45" t="s">
        <v>60</v>
      </c>
      <c r="L2" s="45" t="s">
        <v>97</v>
      </c>
    </row>
    <row r="3" spans="1:12" ht="66" x14ac:dyDescent="0.3">
      <c r="A3" s="47">
        <v>1</v>
      </c>
      <c r="B3" s="48">
        <v>1</v>
      </c>
      <c r="C3" s="49" t="s">
        <v>132</v>
      </c>
      <c r="D3" s="47" t="s">
        <v>56</v>
      </c>
      <c r="E3" s="47">
        <v>1</v>
      </c>
      <c r="F3" s="47">
        <v>8503</v>
      </c>
      <c r="G3" s="50">
        <v>0.18</v>
      </c>
      <c r="H3" s="51">
        <f>L3*78*1.32</f>
        <v>0</v>
      </c>
      <c r="I3" s="52">
        <f>H3*E3</f>
        <v>0</v>
      </c>
      <c r="J3" s="40"/>
      <c r="K3" s="66">
        <v>32</v>
      </c>
      <c r="L3" s="40"/>
    </row>
    <row r="4" spans="1:12" ht="79.2" x14ac:dyDescent="0.3">
      <c r="A4" s="47">
        <v>2</v>
      </c>
      <c r="B4" s="48">
        <v>2</v>
      </c>
      <c r="C4" s="49" t="s">
        <v>133</v>
      </c>
      <c r="D4" s="47" t="s">
        <v>56</v>
      </c>
      <c r="E4" s="47">
        <v>1</v>
      </c>
      <c r="F4" s="47">
        <v>8503</v>
      </c>
      <c r="G4" s="50">
        <v>0.18</v>
      </c>
      <c r="H4" s="51">
        <f t="shared" ref="H4:H6" si="0">L4*78*1.32</f>
        <v>0</v>
      </c>
      <c r="I4" s="52">
        <f t="shared" ref="I4:I6" si="1">H4*E4</f>
        <v>0</v>
      </c>
      <c r="J4" s="40"/>
      <c r="K4" s="66">
        <v>120</v>
      </c>
      <c r="L4" s="40"/>
    </row>
    <row r="5" spans="1:12" ht="52.8" x14ac:dyDescent="0.3">
      <c r="A5" s="47">
        <v>3</v>
      </c>
      <c r="B5" s="48">
        <v>3</v>
      </c>
      <c r="C5" s="49" t="s">
        <v>134</v>
      </c>
      <c r="D5" s="47" t="s">
        <v>56</v>
      </c>
      <c r="E5" s="47">
        <v>1</v>
      </c>
      <c r="F5" s="47">
        <v>8503</v>
      </c>
      <c r="G5" s="50">
        <v>0.18</v>
      </c>
      <c r="H5" s="51">
        <f t="shared" si="0"/>
        <v>0</v>
      </c>
      <c r="I5" s="52">
        <f t="shared" si="1"/>
        <v>0</v>
      </c>
      <c r="J5" s="40"/>
      <c r="K5" s="40">
        <v>74</v>
      </c>
      <c r="L5" s="40"/>
    </row>
    <row r="6" spans="1:12" ht="66" x14ac:dyDescent="0.3">
      <c r="A6" s="47">
        <v>4</v>
      </c>
      <c r="B6" s="48">
        <v>4</v>
      </c>
      <c r="C6" s="49" t="s">
        <v>135</v>
      </c>
      <c r="D6" s="47" t="s">
        <v>56</v>
      </c>
      <c r="E6" s="47">
        <v>2</v>
      </c>
      <c r="F6" s="47">
        <v>8503</v>
      </c>
      <c r="G6" s="50">
        <v>0.18</v>
      </c>
      <c r="H6" s="51">
        <f t="shared" si="0"/>
        <v>0</v>
      </c>
      <c r="I6" s="52">
        <f t="shared" si="1"/>
        <v>0</v>
      </c>
      <c r="J6" s="40"/>
      <c r="K6" s="66">
        <v>144</v>
      </c>
      <c r="L6" s="40"/>
    </row>
    <row r="7" spans="1:12" x14ac:dyDescent="0.3">
      <c r="A7" s="47">
        <v>5</v>
      </c>
      <c r="B7" s="226" t="s">
        <v>98</v>
      </c>
      <c r="C7" s="226"/>
      <c r="D7" s="226"/>
      <c r="E7" s="226"/>
      <c r="F7" s="226"/>
      <c r="G7" s="226"/>
      <c r="H7" s="226"/>
      <c r="I7" s="68">
        <f>SUM(I3:I6)</f>
        <v>0</v>
      </c>
      <c r="J7" s="40"/>
      <c r="K7" s="40"/>
      <c r="L7" s="40"/>
    </row>
    <row r="8" spans="1:12" x14ac:dyDescent="0.3">
      <c r="A8" s="47">
        <v>6</v>
      </c>
      <c r="B8" s="226" t="s">
        <v>99</v>
      </c>
      <c r="C8" s="226"/>
      <c r="D8" s="226"/>
      <c r="E8" s="226"/>
      <c r="F8" s="226"/>
      <c r="G8" s="226"/>
      <c r="H8" s="226"/>
      <c r="I8" s="68">
        <f>I7*18%</f>
        <v>0</v>
      </c>
      <c r="J8" s="40"/>
      <c r="K8" s="40"/>
      <c r="L8" s="40"/>
    </row>
    <row r="9" spans="1:12" ht="13.8" thickBot="1" x14ac:dyDescent="0.35">
      <c r="A9" s="47">
        <v>7</v>
      </c>
      <c r="B9" s="226" t="s">
        <v>9</v>
      </c>
      <c r="C9" s="226"/>
      <c r="D9" s="226"/>
      <c r="E9" s="226"/>
      <c r="F9" s="226"/>
      <c r="G9" s="226"/>
      <c r="H9" s="226"/>
      <c r="I9" s="68">
        <f>I7+I8</f>
        <v>0</v>
      </c>
      <c r="J9" s="40"/>
      <c r="K9" s="40"/>
      <c r="L9" s="40"/>
    </row>
    <row r="10" spans="1:12" x14ac:dyDescent="0.3">
      <c r="A10" s="55"/>
      <c r="B10" s="227"/>
      <c r="C10" s="227"/>
      <c r="D10" s="227"/>
      <c r="E10" s="227"/>
      <c r="F10" s="227"/>
      <c r="G10" s="227"/>
      <c r="H10" s="227"/>
      <c r="I10" s="228"/>
      <c r="J10" s="56"/>
      <c r="K10" s="40"/>
      <c r="L10" s="40"/>
    </row>
    <row r="11" spans="1:12" s="54" customFormat="1" x14ac:dyDescent="0.3">
      <c r="A11" s="229" t="s">
        <v>12</v>
      </c>
      <c r="B11" s="230"/>
      <c r="C11" s="230"/>
      <c r="D11" s="230"/>
      <c r="E11" s="230"/>
      <c r="F11" s="230"/>
      <c r="G11" s="230"/>
      <c r="H11" s="230"/>
      <c r="I11" s="231"/>
      <c r="J11" s="57"/>
      <c r="K11" s="40"/>
    </row>
    <row r="12" spans="1:12" s="54" customFormat="1" ht="118.8" x14ac:dyDescent="0.3">
      <c r="A12" s="58" t="s">
        <v>13</v>
      </c>
      <c r="B12" s="221" t="s">
        <v>73</v>
      </c>
      <c r="C12" s="221"/>
      <c r="D12" s="221"/>
      <c r="E12" s="221"/>
      <c r="F12" s="221"/>
      <c r="G12" s="221"/>
      <c r="H12" s="221"/>
      <c r="I12" s="222"/>
      <c r="J12" s="59"/>
      <c r="K12" s="40"/>
    </row>
  </sheetData>
  <mergeCells count="7">
    <mergeCell ref="B12:I12"/>
    <mergeCell ref="A1:E1"/>
    <mergeCell ref="B7:H7"/>
    <mergeCell ref="B8:H8"/>
    <mergeCell ref="B9:H9"/>
    <mergeCell ref="B10:I10"/>
    <mergeCell ref="A11:I11"/>
  </mergeCells>
  <hyperlinks>
    <hyperlink ref="B11" r:id="rId1" display="CST@2%" xr:uid="{00000000-0004-0000-09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6"/>
  <sheetViews>
    <sheetView topLeftCell="A2" workbookViewId="0">
      <selection activeCell="J9" sqref="J9"/>
    </sheetView>
  </sheetViews>
  <sheetFormatPr defaultColWidth="9.109375" defaultRowHeight="13.2" x14ac:dyDescent="0.3"/>
  <cols>
    <col min="1" max="1" width="6.109375" style="60" customWidth="1"/>
    <col min="2" max="2" width="11.6640625" style="54" customWidth="1"/>
    <col min="3" max="3" width="45" style="54" customWidth="1"/>
    <col min="4" max="4" width="5.88671875" style="61" bestFit="1" customWidth="1"/>
    <col min="5" max="5" width="5.33203125" style="61" customWidth="1"/>
    <col min="6" max="6" width="9" style="61" bestFit="1" customWidth="1"/>
    <col min="7" max="7" width="8.5546875" style="61" customWidth="1"/>
    <col min="8" max="8" width="13.33203125" style="61" customWidth="1"/>
    <col min="9" max="9" width="13.33203125" style="61" bestFit="1" customWidth="1"/>
    <col min="10" max="10" width="11" style="67" bestFit="1" customWidth="1"/>
    <col min="11" max="11" width="9.5546875" style="67" bestFit="1" customWidth="1"/>
    <col min="12" max="12" width="18.6640625" style="67" bestFit="1" customWidth="1"/>
    <col min="13" max="13" width="10.5546875" style="61" bestFit="1" customWidth="1"/>
    <col min="14" max="16384" width="9.109375" style="61"/>
  </cols>
  <sheetData>
    <row r="1" spans="1:12" s="60" customFormat="1" ht="13.5" customHeight="1" thickBot="1" x14ac:dyDescent="0.35">
      <c r="A1" s="223"/>
      <c r="B1" s="224"/>
      <c r="C1" s="224"/>
      <c r="D1" s="224"/>
      <c r="E1" s="225"/>
      <c r="F1" s="62"/>
      <c r="G1" s="63"/>
      <c r="H1" s="63"/>
      <c r="I1" s="64"/>
      <c r="J1" s="40"/>
      <c r="K1" s="41"/>
      <c r="L1" s="41"/>
    </row>
    <row r="2" spans="1:12" s="65" customFormat="1" x14ac:dyDescent="0.3">
      <c r="A2" s="43" t="s">
        <v>0</v>
      </c>
      <c r="B2" s="44" t="s">
        <v>96</v>
      </c>
      <c r="C2" s="43" t="s">
        <v>1</v>
      </c>
      <c r="D2" s="43" t="s">
        <v>2</v>
      </c>
      <c r="E2" s="43" t="s">
        <v>3</v>
      </c>
      <c r="F2" s="43" t="s">
        <v>4</v>
      </c>
      <c r="G2" s="43" t="s">
        <v>5</v>
      </c>
      <c r="H2" s="43" t="s">
        <v>6</v>
      </c>
      <c r="I2" s="43" t="s">
        <v>8</v>
      </c>
      <c r="J2" s="45" t="s">
        <v>61</v>
      </c>
      <c r="K2" s="45" t="s">
        <v>60</v>
      </c>
      <c r="L2" s="45" t="s">
        <v>97</v>
      </c>
    </row>
    <row r="3" spans="1:12" ht="39.6" x14ac:dyDescent="0.3">
      <c r="A3" s="47">
        <v>1</v>
      </c>
      <c r="B3" s="48">
        <v>1</v>
      </c>
      <c r="C3" s="49" t="s">
        <v>136</v>
      </c>
      <c r="D3" s="47" t="s">
        <v>56</v>
      </c>
      <c r="E3" s="47">
        <v>1</v>
      </c>
      <c r="F3" s="47">
        <v>8503</v>
      </c>
      <c r="G3" s="50">
        <v>0.18</v>
      </c>
      <c r="H3" s="51">
        <f>K3*77*1.27</f>
        <v>156464</v>
      </c>
      <c r="I3" s="52">
        <f>H3*E3</f>
        <v>156464</v>
      </c>
      <c r="J3" s="40"/>
      <c r="K3" s="66">
        <v>1600</v>
      </c>
      <c r="L3" s="40"/>
    </row>
    <row r="4" spans="1:12" ht="39.6" x14ac:dyDescent="0.3">
      <c r="A4" s="47">
        <v>2</v>
      </c>
      <c r="B4" s="48">
        <v>2</v>
      </c>
      <c r="C4" s="49" t="s">
        <v>137</v>
      </c>
      <c r="D4" s="47" t="s">
        <v>56</v>
      </c>
      <c r="E4" s="47">
        <v>1</v>
      </c>
      <c r="F4" s="47">
        <v>8503</v>
      </c>
      <c r="G4" s="50">
        <v>0.18</v>
      </c>
      <c r="H4" s="51">
        <f t="shared" ref="H4:H10" si="0">K4*77*1.27</f>
        <v>156464</v>
      </c>
      <c r="I4" s="52">
        <f t="shared" ref="I4:I6" si="1">H4*E4</f>
        <v>156464</v>
      </c>
      <c r="J4" s="40"/>
      <c r="K4" s="66">
        <v>1600</v>
      </c>
      <c r="L4" s="40"/>
    </row>
    <row r="5" spans="1:12" ht="39.6" x14ac:dyDescent="0.3">
      <c r="A5" s="47">
        <v>3</v>
      </c>
      <c r="B5" s="48">
        <v>3</v>
      </c>
      <c r="C5" s="49" t="s">
        <v>138</v>
      </c>
      <c r="D5" s="47" t="s">
        <v>56</v>
      </c>
      <c r="E5" s="47">
        <v>1</v>
      </c>
      <c r="F5" s="47">
        <v>8503</v>
      </c>
      <c r="G5" s="50">
        <v>0.18</v>
      </c>
      <c r="H5" s="51">
        <f t="shared" si="0"/>
        <v>135439.15</v>
      </c>
      <c r="I5" s="52">
        <f t="shared" si="1"/>
        <v>135439.15</v>
      </c>
      <c r="J5" s="40"/>
      <c r="K5" s="40">
        <v>1385</v>
      </c>
      <c r="L5" s="40"/>
    </row>
    <row r="6" spans="1:12" ht="39.6" x14ac:dyDescent="0.3">
      <c r="A6" s="47">
        <v>4</v>
      </c>
      <c r="B6" s="48">
        <v>4</v>
      </c>
      <c r="C6" s="49" t="s">
        <v>139</v>
      </c>
      <c r="D6" s="47" t="s">
        <v>56</v>
      </c>
      <c r="E6" s="47">
        <v>1</v>
      </c>
      <c r="F6" s="47">
        <v>8503</v>
      </c>
      <c r="G6" s="50">
        <v>0.18</v>
      </c>
      <c r="H6" s="51">
        <f t="shared" si="0"/>
        <v>449834</v>
      </c>
      <c r="I6" s="52">
        <f t="shared" si="1"/>
        <v>449834</v>
      </c>
      <c r="J6" s="40"/>
      <c r="K6" s="66">
        <v>4600</v>
      </c>
      <c r="L6" s="40"/>
    </row>
    <row r="7" spans="1:12" ht="39.6" x14ac:dyDescent="0.3">
      <c r="A7" s="47">
        <v>5</v>
      </c>
      <c r="B7" s="48">
        <v>5</v>
      </c>
      <c r="C7" s="49" t="s">
        <v>140</v>
      </c>
      <c r="D7" s="47" t="s">
        <v>56</v>
      </c>
      <c r="E7" s="47">
        <v>1</v>
      </c>
      <c r="F7" s="47">
        <v>8503</v>
      </c>
      <c r="G7" s="50">
        <v>0.18</v>
      </c>
      <c r="H7" s="51">
        <f t="shared" si="0"/>
        <v>358889.3</v>
      </c>
      <c r="I7" s="52">
        <f>H7*E7</f>
        <v>358889.3</v>
      </c>
      <c r="J7" s="40"/>
      <c r="K7" s="66">
        <v>3670</v>
      </c>
      <c r="L7" s="40"/>
    </row>
    <row r="8" spans="1:12" ht="39.6" x14ac:dyDescent="0.3">
      <c r="A8" s="47">
        <v>6</v>
      </c>
      <c r="B8" s="48">
        <v>6</v>
      </c>
      <c r="C8" s="49" t="s">
        <v>141</v>
      </c>
      <c r="D8" s="47" t="s">
        <v>56</v>
      </c>
      <c r="E8" s="47">
        <v>1</v>
      </c>
      <c r="F8" s="47">
        <v>8503</v>
      </c>
      <c r="G8" s="50">
        <v>0.18</v>
      </c>
      <c r="H8" s="51">
        <f t="shared" si="0"/>
        <v>227850.7</v>
      </c>
      <c r="I8" s="52">
        <f t="shared" ref="I8:I10" si="2">H8*E8</f>
        <v>227850.7</v>
      </c>
      <c r="J8" s="40"/>
      <c r="K8" s="66">
        <v>2330</v>
      </c>
      <c r="L8" s="40"/>
    </row>
    <row r="9" spans="1:12" ht="39.6" x14ac:dyDescent="0.3">
      <c r="A9" s="47">
        <v>7</v>
      </c>
      <c r="B9" s="48">
        <v>7</v>
      </c>
      <c r="C9" s="49" t="s">
        <v>142</v>
      </c>
      <c r="D9" s="47" t="s">
        <v>56</v>
      </c>
      <c r="E9" s="47">
        <v>1</v>
      </c>
      <c r="F9" s="47">
        <v>8503</v>
      </c>
      <c r="G9" s="50">
        <v>0.18</v>
      </c>
      <c r="H9" s="51">
        <f t="shared" si="0"/>
        <v>190690.5</v>
      </c>
      <c r="I9" s="52">
        <f t="shared" si="2"/>
        <v>190690.5</v>
      </c>
      <c r="J9" s="40"/>
      <c r="K9" s="40">
        <v>1950</v>
      </c>
      <c r="L9" s="40"/>
    </row>
    <row r="10" spans="1:12" ht="39.6" x14ac:dyDescent="0.3">
      <c r="A10" s="47">
        <v>8</v>
      </c>
      <c r="B10" s="48">
        <v>8</v>
      </c>
      <c r="C10" s="49" t="s">
        <v>143</v>
      </c>
      <c r="D10" s="47" t="s">
        <v>56</v>
      </c>
      <c r="E10" s="47">
        <v>1</v>
      </c>
      <c r="F10" s="47">
        <v>8503</v>
      </c>
      <c r="G10" s="50">
        <v>0.18</v>
      </c>
      <c r="H10" s="51">
        <f t="shared" si="0"/>
        <v>53784.5</v>
      </c>
      <c r="I10" s="52">
        <f t="shared" si="2"/>
        <v>53784.5</v>
      </c>
      <c r="J10" s="40"/>
      <c r="K10" s="66">
        <v>550</v>
      </c>
      <c r="L10" s="40"/>
    </row>
    <row r="11" spans="1:12" x14ac:dyDescent="0.3">
      <c r="A11" s="47">
        <v>9</v>
      </c>
      <c r="B11" s="226" t="s">
        <v>98</v>
      </c>
      <c r="C11" s="226"/>
      <c r="D11" s="226"/>
      <c r="E11" s="226"/>
      <c r="F11" s="226"/>
      <c r="G11" s="226"/>
      <c r="H11" s="226"/>
      <c r="I11" s="68">
        <f>SUM(I3:I10)</f>
        <v>1729416.15</v>
      </c>
      <c r="J11" s="40"/>
      <c r="K11" s="40"/>
      <c r="L11" s="40"/>
    </row>
    <row r="12" spans="1:12" x14ac:dyDescent="0.3">
      <c r="A12" s="47">
        <v>10</v>
      </c>
      <c r="B12" s="226" t="s">
        <v>99</v>
      </c>
      <c r="C12" s="226"/>
      <c r="D12" s="226"/>
      <c r="E12" s="226"/>
      <c r="F12" s="226"/>
      <c r="G12" s="226"/>
      <c r="H12" s="226"/>
      <c r="I12" s="68">
        <f>I11*18%</f>
        <v>311294.90699999995</v>
      </c>
      <c r="J12" s="40"/>
      <c r="K12" s="40"/>
      <c r="L12" s="40"/>
    </row>
    <row r="13" spans="1:12" ht="13.8" thickBot="1" x14ac:dyDescent="0.35">
      <c r="A13" s="47">
        <v>11</v>
      </c>
      <c r="B13" s="226" t="s">
        <v>9</v>
      </c>
      <c r="C13" s="226"/>
      <c r="D13" s="226"/>
      <c r="E13" s="226"/>
      <c r="F13" s="226"/>
      <c r="G13" s="226"/>
      <c r="H13" s="226"/>
      <c r="I13" s="68">
        <f>I11+I12</f>
        <v>2040711.0569999998</v>
      </c>
      <c r="J13" s="40"/>
      <c r="K13" s="40"/>
      <c r="L13" s="40"/>
    </row>
    <row r="14" spans="1:12" x14ac:dyDescent="0.3">
      <c r="A14" s="55"/>
      <c r="B14" s="227"/>
      <c r="C14" s="227"/>
      <c r="D14" s="227"/>
      <c r="E14" s="227"/>
      <c r="F14" s="227"/>
      <c r="G14" s="227"/>
      <c r="H14" s="227"/>
      <c r="I14" s="228"/>
      <c r="J14" s="56"/>
      <c r="K14" s="40"/>
      <c r="L14" s="40"/>
    </row>
    <row r="15" spans="1:12" s="54" customFormat="1" x14ac:dyDescent="0.3">
      <c r="A15" s="229" t="s">
        <v>12</v>
      </c>
      <c r="B15" s="230"/>
      <c r="C15" s="230"/>
      <c r="D15" s="230"/>
      <c r="E15" s="230"/>
      <c r="F15" s="230"/>
      <c r="G15" s="230"/>
      <c r="H15" s="230"/>
      <c r="I15" s="231"/>
      <c r="J15" s="57"/>
      <c r="K15" s="40"/>
    </row>
    <row r="16" spans="1:12" s="54" customFormat="1" ht="118.8" x14ac:dyDescent="0.3">
      <c r="A16" s="58" t="s">
        <v>13</v>
      </c>
      <c r="B16" s="221" t="s">
        <v>73</v>
      </c>
      <c r="C16" s="221"/>
      <c r="D16" s="221"/>
      <c r="E16" s="221"/>
      <c r="F16" s="221"/>
      <c r="G16" s="221"/>
      <c r="H16" s="221"/>
      <c r="I16" s="222"/>
      <c r="J16" s="59"/>
      <c r="K16" s="40"/>
    </row>
  </sheetData>
  <mergeCells count="7">
    <mergeCell ref="B16:I16"/>
    <mergeCell ref="A1:E1"/>
    <mergeCell ref="B11:H11"/>
    <mergeCell ref="B12:H12"/>
    <mergeCell ref="B13:H13"/>
    <mergeCell ref="B14:I14"/>
    <mergeCell ref="A15:I15"/>
  </mergeCells>
  <hyperlinks>
    <hyperlink ref="B15" r:id="rId1" display="CST@2%" xr:uid="{00000000-0004-0000-0A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9"/>
  <sheetViews>
    <sheetView topLeftCell="A2" workbookViewId="0">
      <selection activeCell="G18" sqref="G18"/>
    </sheetView>
  </sheetViews>
  <sheetFormatPr defaultColWidth="9.109375" defaultRowHeight="13.2" x14ac:dyDescent="0.3"/>
  <cols>
    <col min="1" max="1" width="6.109375" style="60" customWidth="1"/>
    <col min="2" max="2" width="11.6640625" style="54" customWidth="1"/>
    <col min="3" max="3" width="45" style="54" customWidth="1"/>
    <col min="4" max="4" width="5.88671875" style="61" bestFit="1" customWidth="1"/>
    <col min="5" max="5" width="5.33203125" style="61" customWidth="1"/>
    <col min="6" max="6" width="9" style="61" bestFit="1" customWidth="1"/>
    <col min="7" max="7" width="8.5546875" style="61" customWidth="1"/>
    <col min="8" max="8" width="13.33203125" style="61" customWidth="1"/>
    <col min="9" max="9" width="13.33203125" style="61" bestFit="1" customWidth="1"/>
    <col min="10" max="10" width="11" style="67" bestFit="1" customWidth="1"/>
    <col min="11" max="11" width="9.5546875" style="67" bestFit="1" customWidth="1"/>
    <col min="12" max="12" width="18.6640625" style="67" bestFit="1" customWidth="1"/>
    <col min="13" max="13" width="10.5546875" style="61" bestFit="1" customWidth="1"/>
    <col min="14" max="16384" width="9.109375" style="61"/>
  </cols>
  <sheetData>
    <row r="1" spans="1:12" s="60" customFormat="1" ht="13.5" customHeight="1" thickBot="1" x14ac:dyDescent="0.35">
      <c r="A1" s="223"/>
      <c r="B1" s="224"/>
      <c r="C1" s="224"/>
      <c r="D1" s="224"/>
      <c r="E1" s="225"/>
      <c r="F1" s="62"/>
      <c r="G1" s="63"/>
      <c r="H1" s="63"/>
      <c r="I1" s="64"/>
      <c r="J1" s="40"/>
      <c r="K1" s="41"/>
      <c r="L1" s="41"/>
    </row>
    <row r="2" spans="1:12" s="65" customFormat="1" x14ac:dyDescent="0.3">
      <c r="A2" s="43" t="s">
        <v>0</v>
      </c>
      <c r="B2" s="44" t="s">
        <v>96</v>
      </c>
      <c r="C2" s="43" t="s">
        <v>1</v>
      </c>
      <c r="D2" s="43" t="s">
        <v>2</v>
      </c>
      <c r="E2" s="43" t="s">
        <v>3</v>
      </c>
      <c r="F2" s="43" t="s">
        <v>4</v>
      </c>
      <c r="G2" s="43" t="s">
        <v>5</v>
      </c>
      <c r="H2" s="43" t="s">
        <v>6</v>
      </c>
      <c r="I2" s="43" t="s">
        <v>8</v>
      </c>
      <c r="J2" s="45" t="s">
        <v>61</v>
      </c>
      <c r="K2" s="45" t="s">
        <v>108</v>
      </c>
      <c r="L2" s="45" t="s">
        <v>97</v>
      </c>
    </row>
    <row r="3" spans="1:12" ht="39.6" x14ac:dyDescent="0.3">
      <c r="A3" s="47">
        <v>1</v>
      </c>
      <c r="B3" s="48">
        <v>1</v>
      </c>
      <c r="C3" s="49" t="s">
        <v>144</v>
      </c>
      <c r="D3" s="47" t="s">
        <v>56</v>
      </c>
      <c r="E3" s="47">
        <v>5</v>
      </c>
      <c r="F3" s="47">
        <v>8414</v>
      </c>
      <c r="G3" s="50">
        <v>0.18</v>
      </c>
      <c r="H3" s="51">
        <v>9540</v>
      </c>
      <c r="I3" s="52">
        <f>H3*E3</f>
        <v>47700</v>
      </c>
      <c r="J3" s="40"/>
      <c r="K3" s="66"/>
      <c r="L3" s="40"/>
    </row>
    <row r="4" spans="1:12" x14ac:dyDescent="0.3">
      <c r="A4" s="47">
        <v>2</v>
      </c>
      <c r="B4" s="226" t="s">
        <v>98</v>
      </c>
      <c r="C4" s="226"/>
      <c r="D4" s="226"/>
      <c r="E4" s="226"/>
      <c r="F4" s="226"/>
      <c r="G4" s="226"/>
      <c r="H4" s="226"/>
      <c r="I4" s="68">
        <f>SUM(I3:I3)</f>
        <v>47700</v>
      </c>
      <c r="J4" s="40"/>
      <c r="K4" s="40"/>
      <c r="L4" s="40"/>
    </row>
    <row r="5" spans="1:12" x14ac:dyDescent="0.3">
      <c r="A5" s="47">
        <v>3</v>
      </c>
      <c r="B5" s="226" t="s">
        <v>99</v>
      </c>
      <c r="C5" s="226"/>
      <c r="D5" s="226"/>
      <c r="E5" s="226"/>
      <c r="F5" s="226"/>
      <c r="G5" s="226"/>
      <c r="H5" s="226"/>
      <c r="I5" s="68">
        <f>I4*18%</f>
        <v>8586</v>
      </c>
      <c r="J5" s="40"/>
      <c r="K5" s="40"/>
      <c r="L5" s="40"/>
    </row>
    <row r="6" spans="1:12" ht="13.8" thickBot="1" x14ac:dyDescent="0.35">
      <c r="A6" s="47">
        <v>4</v>
      </c>
      <c r="B6" s="226" t="s">
        <v>9</v>
      </c>
      <c r="C6" s="226"/>
      <c r="D6" s="226"/>
      <c r="E6" s="226"/>
      <c r="F6" s="226"/>
      <c r="G6" s="226"/>
      <c r="H6" s="226"/>
      <c r="I6" s="68">
        <f>I4+I5</f>
        <v>56286</v>
      </c>
      <c r="J6" s="40"/>
      <c r="K6" s="40"/>
      <c r="L6" s="40"/>
    </row>
    <row r="7" spans="1:12" x14ac:dyDescent="0.3">
      <c r="A7" s="55"/>
      <c r="B7" s="227"/>
      <c r="C7" s="227"/>
      <c r="D7" s="227"/>
      <c r="E7" s="227"/>
      <c r="F7" s="227"/>
      <c r="G7" s="227"/>
      <c r="H7" s="227"/>
      <c r="I7" s="228"/>
      <c r="J7" s="56"/>
      <c r="K7" s="40"/>
      <c r="L7" s="40"/>
    </row>
    <row r="8" spans="1:12" s="54" customFormat="1" x14ac:dyDescent="0.3">
      <c r="A8" s="229" t="s">
        <v>12</v>
      </c>
      <c r="B8" s="230"/>
      <c r="C8" s="230"/>
      <c r="D8" s="230"/>
      <c r="E8" s="230"/>
      <c r="F8" s="230"/>
      <c r="G8" s="230"/>
      <c r="H8" s="230"/>
      <c r="I8" s="231"/>
      <c r="J8" s="57"/>
      <c r="K8" s="40"/>
    </row>
    <row r="9" spans="1:12" s="54" customFormat="1" ht="118.8" x14ac:dyDescent="0.3">
      <c r="A9" s="58" t="s">
        <v>13</v>
      </c>
      <c r="B9" s="221" t="s">
        <v>73</v>
      </c>
      <c r="C9" s="221"/>
      <c r="D9" s="221"/>
      <c r="E9" s="221"/>
      <c r="F9" s="221"/>
      <c r="G9" s="221"/>
      <c r="H9" s="221"/>
      <c r="I9" s="222"/>
      <c r="J9" s="59"/>
      <c r="K9" s="40"/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0B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1"/>
  <sheetViews>
    <sheetView workbookViewId="0">
      <selection activeCell="J4" sqref="J4"/>
    </sheetView>
  </sheetViews>
  <sheetFormatPr defaultColWidth="9.109375" defaultRowHeight="13.8" x14ac:dyDescent="0.3"/>
  <cols>
    <col min="1" max="1" width="6.109375" style="87" customWidth="1"/>
    <col min="2" max="2" width="11.6640625" style="95" customWidth="1"/>
    <col min="3" max="3" width="4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9.554687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149</v>
      </c>
      <c r="C2" s="78" t="s">
        <v>1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8</v>
      </c>
      <c r="J2" s="80" t="s">
        <v>61</v>
      </c>
      <c r="K2" s="80" t="s">
        <v>108</v>
      </c>
      <c r="L2" s="80" t="s">
        <v>97</v>
      </c>
    </row>
    <row r="3" spans="1:12" ht="41.4" x14ac:dyDescent="0.3">
      <c r="A3" s="88">
        <v>1</v>
      </c>
      <c r="B3" s="89" t="s">
        <v>122</v>
      </c>
      <c r="C3" s="90" t="s">
        <v>144</v>
      </c>
      <c r="D3" s="88" t="s">
        <v>56</v>
      </c>
      <c r="E3" s="88">
        <v>5</v>
      </c>
      <c r="F3" s="88">
        <v>8503</v>
      </c>
      <c r="G3" s="91">
        <v>0.18</v>
      </c>
      <c r="H3" s="92">
        <v>9140</v>
      </c>
      <c r="I3" s="93">
        <f>H3*E3</f>
        <v>45700</v>
      </c>
      <c r="J3" s="85"/>
      <c r="K3" s="94"/>
      <c r="L3" s="85"/>
    </row>
    <row r="4" spans="1:12" ht="110.4" x14ac:dyDescent="0.3">
      <c r="A4" s="88">
        <v>2</v>
      </c>
      <c r="B4" s="89" t="s">
        <v>78</v>
      </c>
      <c r="C4" s="90" t="s">
        <v>151</v>
      </c>
      <c r="D4" s="88" t="s">
        <v>56</v>
      </c>
      <c r="E4" s="88">
        <v>2</v>
      </c>
      <c r="F4" s="88">
        <v>8481</v>
      </c>
      <c r="G4" s="91">
        <v>0.18</v>
      </c>
      <c r="H4" s="92">
        <v>6550</v>
      </c>
      <c r="I4" s="93">
        <f>H4*E4</f>
        <v>13100</v>
      </c>
      <c r="J4" s="85"/>
      <c r="K4" s="94"/>
      <c r="L4" s="85"/>
    </row>
    <row r="5" spans="1:12" ht="69" x14ac:dyDescent="0.3">
      <c r="A5" s="88">
        <v>3</v>
      </c>
      <c r="B5" s="89" t="s">
        <v>78</v>
      </c>
      <c r="C5" s="90" t="s">
        <v>150</v>
      </c>
      <c r="D5" s="88" t="s">
        <v>56</v>
      </c>
      <c r="E5" s="88">
        <v>2</v>
      </c>
      <c r="F5" s="88">
        <v>8481</v>
      </c>
      <c r="G5" s="91">
        <v>0.18</v>
      </c>
      <c r="H5" s="92">
        <v>7000</v>
      </c>
      <c r="I5" s="93">
        <f>H5*E5</f>
        <v>14000</v>
      </c>
      <c r="J5" s="85"/>
      <c r="K5" s="94"/>
      <c r="L5" s="85"/>
    </row>
    <row r="6" spans="1:12" x14ac:dyDescent="0.3">
      <c r="A6" s="88">
        <v>4</v>
      </c>
      <c r="B6" s="237" t="s">
        <v>98</v>
      </c>
      <c r="C6" s="237"/>
      <c r="D6" s="237"/>
      <c r="E6" s="237"/>
      <c r="F6" s="237"/>
      <c r="G6" s="237"/>
      <c r="H6" s="237"/>
      <c r="I6" s="97">
        <f>SUM(I3:I5)</f>
        <v>72800</v>
      </c>
      <c r="J6" s="85"/>
      <c r="K6" s="85"/>
      <c r="L6" s="85"/>
    </row>
    <row r="7" spans="1:12" x14ac:dyDescent="0.3">
      <c r="A7" s="88">
        <v>5</v>
      </c>
      <c r="B7" s="237" t="s">
        <v>99</v>
      </c>
      <c r="C7" s="237"/>
      <c r="D7" s="237"/>
      <c r="E7" s="237"/>
      <c r="F7" s="237"/>
      <c r="G7" s="237"/>
      <c r="H7" s="237"/>
      <c r="I7" s="97">
        <f>I6*18%</f>
        <v>13104</v>
      </c>
      <c r="J7" s="85"/>
      <c r="K7" s="85"/>
      <c r="L7" s="85"/>
    </row>
    <row r="8" spans="1:12" ht="14.4" thickBot="1" x14ac:dyDescent="0.35">
      <c r="A8" s="88">
        <v>6</v>
      </c>
      <c r="B8" s="237" t="s">
        <v>9</v>
      </c>
      <c r="C8" s="237"/>
      <c r="D8" s="237"/>
      <c r="E8" s="237"/>
      <c r="F8" s="237"/>
      <c r="G8" s="237"/>
      <c r="H8" s="237"/>
      <c r="I8" s="97">
        <f>I6+I7</f>
        <v>85904</v>
      </c>
      <c r="J8" s="85"/>
      <c r="K8" s="85"/>
      <c r="L8" s="85"/>
    </row>
    <row r="9" spans="1:12" x14ac:dyDescent="0.3">
      <c r="A9" s="98"/>
      <c r="B9" s="238"/>
      <c r="C9" s="238"/>
      <c r="D9" s="238"/>
      <c r="E9" s="238"/>
      <c r="F9" s="238"/>
      <c r="G9" s="238"/>
      <c r="H9" s="238"/>
      <c r="I9" s="239"/>
      <c r="J9" s="99"/>
      <c r="K9" s="85"/>
      <c r="L9" s="85"/>
    </row>
    <row r="10" spans="1:12" s="95" customFormat="1" x14ac:dyDescent="0.3">
      <c r="A10" s="240" t="s">
        <v>12</v>
      </c>
      <c r="B10" s="241"/>
      <c r="C10" s="241"/>
      <c r="D10" s="241"/>
      <c r="E10" s="241"/>
      <c r="F10" s="241"/>
      <c r="G10" s="241"/>
      <c r="H10" s="241"/>
      <c r="I10" s="242"/>
      <c r="J10" s="100"/>
      <c r="K10" s="85"/>
    </row>
    <row r="11" spans="1:12" s="95" customFormat="1" ht="124.2" x14ac:dyDescent="0.3">
      <c r="A11" s="101" t="s">
        <v>13</v>
      </c>
      <c r="B11" s="232" t="s">
        <v>148</v>
      </c>
      <c r="C11" s="232"/>
      <c r="D11" s="232"/>
      <c r="E11" s="232"/>
      <c r="F11" s="232"/>
      <c r="G11" s="232"/>
      <c r="H11" s="232"/>
      <c r="I11" s="233"/>
      <c r="J11" s="102"/>
      <c r="K11" s="85"/>
    </row>
  </sheetData>
  <mergeCells count="7">
    <mergeCell ref="B11:I11"/>
    <mergeCell ref="A1:E1"/>
    <mergeCell ref="B6:H6"/>
    <mergeCell ref="B7:H7"/>
    <mergeCell ref="B8:H8"/>
    <mergeCell ref="B9:I9"/>
    <mergeCell ref="A10:I10"/>
  </mergeCells>
  <hyperlinks>
    <hyperlink ref="B10" r:id="rId1" display="CST@2%" xr:uid="{00000000-0004-0000-0C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9"/>
  <sheetViews>
    <sheetView workbookViewId="0">
      <selection activeCell="J9" sqref="J9"/>
    </sheetView>
  </sheetViews>
  <sheetFormatPr defaultColWidth="9.109375" defaultRowHeight="13.8" x14ac:dyDescent="0.3"/>
  <cols>
    <col min="1" max="1" width="6.109375" style="87" customWidth="1"/>
    <col min="2" max="2" width="5.44140625" style="95" bestFit="1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9.554687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149</v>
      </c>
      <c r="C2" s="78" t="s">
        <v>1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153</v>
      </c>
      <c r="L2" s="80" t="s">
        <v>97</v>
      </c>
    </row>
    <row r="3" spans="1:12" ht="55.2" x14ac:dyDescent="0.3">
      <c r="A3" s="88">
        <v>1</v>
      </c>
      <c r="B3" s="89" t="s">
        <v>122</v>
      </c>
      <c r="C3" s="90" t="s">
        <v>152</v>
      </c>
      <c r="D3" s="88" t="s">
        <v>56</v>
      </c>
      <c r="E3" s="88">
        <v>2</v>
      </c>
      <c r="F3" s="88">
        <v>8481</v>
      </c>
      <c r="G3" s="91">
        <v>0.18</v>
      </c>
      <c r="H3" s="92">
        <f>J3*80*1.32</f>
        <v>274560</v>
      </c>
      <c r="I3" s="93">
        <f>H3*E3</f>
        <v>549120</v>
      </c>
      <c r="J3" s="85">
        <v>2600</v>
      </c>
      <c r="K3" s="94">
        <v>2450</v>
      </c>
      <c r="L3" s="85"/>
    </row>
    <row r="4" spans="1:12" x14ac:dyDescent="0.3">
      <c r="A4" s="88">
        <v>2</v>
      </c>
      <c r="B4" s="237" t="s">
        <v>98</v>
      </c>
      <c r="C4" s="237"/>
      <c r="D4" s="237"/>
      <c r="E4" s="237"/>
      <c r="F4" s="237"/>
      <c r="G4" s="237"/>
      <c r="H4" s="237"/>
      <c r="I4" s="97">
        <f>SUM(I3:I3)</f>
        <v>549120</v>
      </c>
      <c r="J4" s="85"/>
      <c r="K4" s="85"/>
      <c r="L4" s="85"/>
    </row>
    <row r="5" spans="1:12" x14ac:dyDescent="0.3">
      <c r="A5" s="88">
        <v>3</v>
      </c>
      <c r="B5" s="237" t="s">
        <v>99</v>
      </c>
      <c r="C5" s="237"/>
      <c r="D5" s="237"/>
      <c r="E5" s="237"/>
      <c r="F5" s="237"/>
      <c r="G5" s="237"/>
      <c r="H5" s="237"/>
      <c r="I5" s="97">
        <f>I4*18%</f>
        <v>98841.599999999991</v>
      </c>
      <c r="J5" s="85"/>
      <c r="K5" s="85"/>
      <c r="L5" s="85"/>
    </row>
    <row r="6" spans="1:12" ht="14.4" thickBot="1" x14ac:dyDescent="0.35">
      <c r="A6" s="88">
        <v>4</v>
      </c>
      <c r="B6" s="237" t="s">
        <v>9</v>
      </c>
      <c r="C6" s="237"/>
      <c r="D6" s="237"/>
      <c r="E6" s="237"/>
      <c r="F6" s="237"/>
      <c r="G6" s="237"/>
      <c r="H6" s="237"/>
      <c r="I6" s="97">
        <f>I4+I5</f>
        <v>647961.59999999998</v>
      </c>
      <c r="J6" s="85"/>
      <c r="K6" s="85"/>
      <c r="L6" s="85"/>
    </row>
    <row r="7" spans="1:12" x14ac:dyDescent="0.3">
      <c r="A7" s="98"/>
      <c r="B7" s="238"/>
      <c r="C7" s="238"/>
      <c r="D7" s="238"/>
      <c r="E7" s="238"/>
      <c r="F7" s="238"/>
      <c r="G7" s="238"/>
      <c r="H7" s="238"/>
      <c r="I7" s="239"/>
      <c r="J7" s="99"/>
      <c r="K7" s="85"/>
      <c r="L7" s="85"/>
    </row>
    <row r="8" spans="1:12" s="95" customFormat="1" x14ac:dyDescent="0.3">
      <c r="A8" s="240" t="s">
        <v>12</v>
      </c>
      <c r="B8" s="241"/>
      <c r="C8" s="241"/>
      <c r="D8" s="241"/>
      <c r="E8" s="241"/>
      <c r="F8" s="241"/>
      <c r="G8" s="241"/>
      <c r="H8" s="241"/>
      <c r="I8" s="242"/>
      <c r="J8" s="100"/>
      <c r="K8" s="85"/>
    </row>
    <row r="9" spans="1:12" s="95" customFormat="1" ht="124.2" x14ac:dyDescent="0.3">
      <c r="A9" s="101" t="s">
        <v>13</v>
      </c>
      <c r="B9" s="232" t="s">
        <v>148</v>
      </c>
      <c r="C9" s="232"/>
      <c r="D9" s="232"/>
      <c r="E9" s="232"/>
      <c r="F9" s="232"/>
      <c r="G9" s="232"/>
      <c r="H9" s="232"/>
      <c r="I9" s="233"/>
      <c r="J9" s="102"/>
      <c r="K9" s="85"/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0D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"/>
  <sheetViews>
    <sheetView topLeftCell="A2" workbookViewId="0">
      <selection activeCell="H3" sqref="H3"/>
    </sheetView>
  </sheetViews>
  <sheetFormatPr defaultColWidth="9.109375" defaultRowHeight="13.8" x14ac:dyDescent="0.3"/>
  <cols>
    <col min="1" max="1" width="6.109375" style="87" customWidth="1"/>
    <col min="2" max="2" width="5.44140625" style="95" bestFit="1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149</v>
      </c>
      <c r="C2" s="78" t="s">
        <v>1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156</v>
      </c>
      <c r="L2" s="80" t="s">
        <v>97</v>
      </c>
    </row>
    <row r="3" spans="1:12" ht="96.6" x14ac:dyDescent="0.3">
      <c r="A3" s="88">
        <v>1</v>
      </c>
      <c r="B3" s="89" t="s">
        <v>122</v>
      </c>
      <c r="C3" s="90" t="s">
        <v>155</v>
      </c>
      <c r="D3" s="88" t="s">
        <v>56</v>
      </c>
      <c r="E3" s="88">
        <v>1</v>
      </c>
      <c r="F3" s="88">
        <v>8481</v>
      </c>
      <c r="G3" s="91">
        <v>0.18</v>
      </c>
      <c r="H3" s="92">
        <f>J3*80*1.32</f>
        <v>612480</v>
      </c>
      <c r="I3" s="93">
        <f>H3*E3</f>
        <v>612480</v>
      </c>
      <c r="J3" s="85">
        <v>5800</v>
      </c>
      <c r="K3" s="94">
        <f>36000/6.3</f>
        <v>5714.2857142857147</v>
      </c>
      <c r="L3" s="85"/>
    </row>
    <row r="4" spans="1:12" x14ac:dyDescent="0.3">
      <c r="A4" s="88">
        <v>2</v>
      </c>
      <c r="B4" s="237" t="s">
        <v>98</v>
      </c>
      <c r="C4" s="237"/>
      <c r="D4" s="237"/>
      <c r="E4" s="237"/>
      <c r="F4" s="237"/>
      <c r="G4" s="237"/>
      <c r="H4" s="237"/>
      <c r="I4" s="97">
        <f>SUM(I3:I3)</f>
        <v>612480</v>
      </c>
      <c r="J4" s="85"/>
      <c r="K4" s="85"/>
      <c r="L4" s="85"/>
    </row>
    <row r="5" spans="1:12" x14ac:dyDescent="0.3">
      <c r="A5" s="88">
        <v>3</v>
      </c>
      <c r="B5" s="237" t="s">
        <v>99</v>
      </c>
      <c r="C5" s="237"/>
      <c r="D5" s="237"/>
      <c r="E5" s="237"/>
      <c r="F5" s="237"/>
      <c r="G5" s="237"/>
      <c r="H5" s="237"/>
      <c r="I5" s="97">
        <f>I4*18%</f>
        <v>110246.39999999999</v>
      </c>
      <c r="J5" s="85"/>
      <c r="K5" s="85"/>
      <c r="L5" s="85"/>
    </row>
    <row r="6" spans="1:12" ht="14.4" thickBot="1" x14ac:dyDescent="0.35">
      <c r="A6" s="88">
        <v>4</v>
      </c>
      <c r="B6" s="237" t="s">
        <v>9</v>
      </c>
      <c r="C6" s="237"/>
      <c r="D6" s="237"/>
      <c r="E6" s="237"/>
      <c r="F6" s="237"/>
      <c r="G6" s="237"/>
      <c r="H6" s="237"/>
      <c r="I6" s="97">
        <f>I4+I5</f>
        <v>722726.40000000002</v>
      </c>
      <c r="J6" s="85"/>
      <c r="K6" s="85"/>
      <c r="L6" s="85"/>
    </row>
    <row r="7" spans="1:12" x14ac:dyDescent="0.3">
      <c r="A7" s="98"/>
      <c r="B7" s="238"/>
      <c r="C7" s="238"/>
      <c r="D7" s="238"/>
      <c r="E7" s="238"/>
      <c r="F7" s="238"/>
      <c r="G7" s="238"/>
      <c r="H7" s="238"/>
      <c r="I7" s="239"/>
      <c r="J7" s="99"/>
      <c r="K7" s="85"/>
      <c r="L7" s="85"/>
    </row>
    <row r="8" spans="1:12" s="95" customFormat="1" x14ac:dyDescent="0.3">
      <c r="A8" s="240" t="s">
        <v>12</v>
      </c>
      <c r="B8" s="241"/>
      <c r="C8" s="241"/>
      <c r="D8" s="241"/>
      <c r="E8" s="241"/>
      <c r="F8" s="241"/>
      <c r="G8" s="241"/>
      <c r="H8" s="241"/>
      <c r="I8" s="242"/>
      <c r="J8" s="100"/>
      <c r="K8" s="85"/>
    </row>
    <row r="9" spans="1:12" s="95" customFormat="1" ht="124.2" x14ac:dyDescent="0.3">
      <c r="A9" s="101" t="s">
        <v>13</v>
      </c>
      <c r="B9" s="232" t="s">
        <v>157</v>
      </c>
      <c r="C9" s="232"/>
      <c r="D9" s="232"/>
      <c r="E9" s="232"/>
      <c r="F9" s="232"/>
      <c r="G9" s="232"/>
      <c r="H9" s="232"/>
      <c r="I9" s="233"/>
      <c r="J9" s="102"/>
      <c r="K9" s="85"/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0E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1"/>
  <sheetViews>
    <sheetView topLeftCell="A2" workbookViewId="0">
      <selection activeCell="L8" sqref="L8"/>
    </sheetView>
  </sheetViews>
  <sheetFormatPr defaultColWidth="9.109375" defaultRowHeight="13.8" x14ac:dyDescent="0.3"/>
  <cols>
    <col min="1" max="1" width="6.109375" style="87" customWidth="1"/>
    <col min="2" max="2" width="9.88671875" style="95" bestFit="1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158</v>
      </c>
      <c r="C2" s="78" t="s">
        <v>1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162</v>
      </c>
      <c r="L2" s="80" t="s">
        <v>97</v>
      </c>
    </row>
    <row r="3" spans="1:12" ht="27.6" x14ac:dyDescent="0.3">
      <c r="A3" s="88">
        <v>1</v>
      </c>
      <c r="B3" s="89">
        <v>4000009600</v>
      </c>
      <c r="C3" s="90" t="s">
        <v>159</v>
      </c>
      <c r="D3" s="88" t="s">
        <v>56</v>
      </c>
      <c r="E3" s="88">
        <v>10</v>
      </c>
      <c r="F3" s="88">
        <v>8503</v>
      </c>
      <c r="G3" s="91">
        <v>0.18</v>
      </c>
      <c r="H3" s="92">
        <f>J3*80*1.32</f>
        <v>58080</v>
      </c>
      <c r="I3" s="93">
        <f>H3*E3</f>
        <v>580800</v>
      </c>
      <c r="J3" s="85">
        <v>550</v>
      </c>
      <c r="K3" s="94">
        <v>495</v>
      </c>
      <c r="L3" s="85"/>
    </row>
    <row r="4" spans="1:12" ht="82.8" x14ac:dyDescent="0.3">
      <c r="A4" s="88">
        <v>2</v>
      </c>
      <c r="B4" s="89">
        <v>4000015920</v>
      </c>
      <c r="C4" s="90" t="s">
        <v>163</v>
      </c>
      <c r="D4" s="88" t="s">
        <v>127</v>
      </c>
      <c r="E4" s="88">
        <v>1</v>
      </c>
      <c r="F4" s="88">
        <v>8503</v>
      </c>
      <c r="G4" s="91">
        <v>0.18</v>
      </c>
      <c r="H4" s="92">
        <f>J4*80*1.32</f>
        <v>1531200</v>
      </c>
      <c r="I4" s="93">
        <f>H4*E4</f>
        <v>1531200</v>
      </c>
      <c r="J4" s="85">
        <v>14500</v>
      </c>
      <c r="K4" s="94">
        <v>14380</v>
      </c>
      <c r="L4" s="85"/>
    </row>
    <row r="5" spans="1:12" ht="27.6" x14ac:dyDescent="0.3">
      <c r="A5" s="88">
        <v>3</v>
      </c>
      <c r="B5" s="89">
        <v>4000009136</v>
      </c>
      <c r="C5" s="90" t="s">
        <v>160</v>
      </c>
      <c r="D5" s="88" t="s">
        <v>56</v>
      </c>
      <c r="E5" s="88">
        <v>150</v>
      </c>
      <c r="F5" s="88">
        <v>8503</v>
      </c>
      <c r="G5" s="91">
        <v>0.18</v>
      </c>
      <c r="H5" s="92">
        <f>J5*80*1.32</f>
        <v>4224</v>
      </c>
      <c r="I5" s="93">
        <f>H5*E5</f>
        <v>633600</v>
      </c>
      <c r="J5" s="85">
        <v>40</v>
      </c>
      <c r="K5" s="94">
        <v>47</v>
      </c>
      <c r="L5" s="85"/>
    </row>
    <row r="6" spans="1:12" x14ac:dyDescent="0.3">
      <c r="A6" s="88">
        <v>4</v>
      </c>
      <c r="B6" s="237" t="s">
        <v>98</v>
      </c>
      <c r="C6" s="237"/>
      <c r="D6" s="237"/>
      <c r="E6" s="237"/>
      <c r="F6" s="237"/>
      <c r="G6" s="237"/>
      <c r="H6" s="237"/>
      <c r="I6" s="97">
        <f>SUM(I3:I5)</f>
        <v>2745600</v>
      </c>
      <c r="J6" s="85"/>
      <c r="K6" s="85"/>
      <c r="L6" s="85"/>
    </row>
    <row r="7" spans="1:12" x14ac:dyDescent="0.3">
      <c r="A7" s="88">
        <v>5</v>
      </c>
      <c r="B7" s="237" t="s">
        <v>99</v>
      </c>
      <c r="C7" s="237"/>
      <c r="D7" s="237"/>
      <c r="E7" s="237"/>
      <c r="F7" s="237"/>
      <c r="G7" s="237"/>
      <c r="H7" s="237"/>
      <c r="I7" s="97">
        <f>I6*18%</f>
        <v>494208</v>
      </c>
      <c r="J7" s="85"/>
      <c r="K7" s="85"/>
      <c r="L7" s="85"/>
    </row>
    <row r="8" spans="1:12" ht="14.4" thickBot="1" x14ac:dyDescent="0.35">
      <c r="A8" s="88">
        <v>6</v>
      </c>
      <c r="B8" s="237" t="s">
        <v>9</v>
      </c>
      <c r="C8" s="237"/>
      <c r="D8" s="237"/>
      <c r="E8" s="237"/>
      <c r="F8" s="237"/>
      <c r="G8" s="237"/>
      <c r="H8" s="237"/>
      <c r="I8" s="97">
        <f>I6+I7</f>
        <v>3239808</v>
      </c>
      <c r="J8" s="85"/>
      <c r="K8" s="85"/>
      <c r="L8" s="85"/>
    </row>
    <row r="9" spans="1:12" x14ac:dyDescent="0.3">
      <c r="A9" s="98"/>
      <c r="B9" s="238"/>
      <c r="C9" s="238"/>
      <c r="D9" s="238"/>
      <c r="E9" s="238"/>
      <c r="F9" s="238"/>
      <c r="G9" s="238"/>
      <c r="H9" s="238"/>
      <c r="I9" s="239"/>
      <c r="J9" s="99"/>
      <c r="K9" s="85"/>
      <c r="L9" s="85"/>
    </row>
    <row r="10" spans="1:12" s="95" customFormat="1" x14ac:dyDescent="0.3">
      <c r="A10" s="240" t="s">
        <v>12</v>
      </c>
      <c r="B10" s="241"/>
      <c r="C10" s="241"/>
      <c r="D10" s="241"/>
      <c r="E10" s="241"/>
      <c r="F10" s="241"/>
      <c r="G10" s="241"/>
      <c r="H10" s="241"/>
      <c r="I10" s="242"/>
      <c r="J10" s="100"/>
      <c r="K10" s="85"/>
    </row>
    <row r="11" spans="1:12" s="95" customFormat="1" ht="124.2" x14ac:dyDescent="0.3">
      <c r="A11" s="101" t="s">
        <v>13</v>
      </c>
      <c r="B11" s="232" t="s">
        <v>161</v>
      </c>
      <c r="C11" s="232"/>
      <c r="D11" s="232"/>
      <c r="E11" s="232"/>
      <c r="F11" s="232"/>
      <c r="G11" s="232"/>
      <c r="H11" s="232"/>
      <c r="I11" s="233"/>
      <c r="J11" s="102"/>
      <c r="K11" s="85"/>
    </row>
  </sheetData>
  <mergeCells count="7">
    <mergeCell ref="B11:I11"/>
    <mergeCell ref="A1:E1"/>
    <mergeCell ref="B6:H6"/>
    <mergeCell ref="B7:H7"/>
    <mergeCell ref="B8:H8"/>
    <mergeCell ref="B9:I9"/>
    <mergeCell ref="A10:I10"/>
  </mergeCells>
  <hyperlinks>
    <hyperlink ref="B10" r:id="rId1" display="CST@2%" xr:uid="{00000000-0004-0000-0F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7"/>
  <sheetViews>
    <sheetView topLeftCell="A8" workbookViewId="0">
      <selection activeCell="H9" sqref="H9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181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162</v>
      </c>
      <c r="L2" s="80" t="s">
        <v>97</v>
      </c>
    </row>
    <row r="3" spans="1:12" x14ac:dyDescent="0.3">
      <c r="A3" s="88">
        <v>1</v>
      </c>
      <c r="B3" s="89" t="s">
        <v>164</v>
      </c>
      <c r="C3" s="90" t="s">
        <v>165</v>
      </c>
      <c r="D3" s="88" t="s">
        <v>166</v>
      </c>
      <c r="E3" s="88">
        <v>1</v>
      </c>
      <c r="F3" s="88">
        <v>8406</v>
      </c>
      <c r="G3" s="91">
        <v>0.18</v>
      </c>
      <c r="H3" s="92">
        <f t="shared" ref="H3:H10" si="0">J3*80*1.32</f>
        <v>79200</v>
      </c>
      <c r="I3" s="93">
        <f t="shared" ref="I3:I10" si="1">H3*E3</f>
        <v>79200</v>
      </c>
      <c r="J3" s="85">
        <v>750</v>
      </c>
      <c r="K3" s="94">
        <v>730</v>
      </c>
      <c r="L3" s="85"/>
    </row>
    <row r="4" spans="1:12" x14ac:dyDescent="0.3">
      <c r="A4" s="88">
        <v>2</v>
      </c>
      <c r="B4" s="89" t="s">
        <v>167</v>
      </c>
      <c r="C4" s="90" t="s">
        <v>168</v>
      </c>
      <c r="D4" s="88" t="s">
        <v>166</v>
      </c>
      <c r="E4" s="88">
        <v>1</v>
      </c>
      <c r="F4" s="88">
        <v>8406</v>
      </c>
      <c r="G4" s="91">
        <v>0.18</v>
      </c>
      <c r="H4" s="92">
        <f t="shared" si="0"/>
        <v>3379.2000000000003</v>
      </c>
      <c r="I4" s="93">
        <f t="shared" si="1"/>
        <v>3379.2000000000003</v>
      </c>
      <c r="J4" s="85">
        <v>32</v>
      </c>
      <c r="K4" s="94">
        <v>30</v>
      </c>
      <c r="L4" s="85"/>
    </row>
    <row r="5" spans="1:12" x14ac:dyDescent="0.3">
      <c r="A5" s="88">
        <v>3</v>
      </c>
      <c r="B5" s="89" t="s">
        <v>169</v>
      </c>
      <c r="C5" s="90" t="s">
        <v>170</v>
      </c>
      <c r="D5" s="88" t="s">
        <v>166</v>
      </c>
      <c r="E5" s="88">
        <v>1</v>
      </c>
      <c r="F5" s="88">
        <v>8406</v>
      </c>
      <c r="G5" s="91">
        <v>0.18</v>
      </c>
      <c r="H5" s="92">
        <f t="shared" si="0"/>
        <v>390720</v>
      </c>
      <c r="I5" s="93">
        <f t="shared" si="1"/>
        <v>390720</v>
      </c>
      <c r="J5" s="85">
        <v>3700</v>
      </c>
      <c r="K5" s="94">
        <v>3550</v>
      </c>
      <c r="L5" s="85"/>
    </row>
    <row r="6" spans="1:12" x14ac:dyDescent="0.3">
      <c r="A6" s="88">
        <v>4</v>
      </c>
      <c r="B6" s="89" t="s">
        <v>171</v>
      </c>
      <c r="C6" s="90" t="s">
        <v>172</v>
      </c>
      <c r="D6" s="88" t="s">
        <v>166</v>
      </c>
      <c r="E6" s="88">
        <v>1</v>
      </c>
      <c r="F6" s="88">
        <v>8406</v>
      </c>
      <c r="G6" s="91">
        <v>0.18</v>
      </c>
      <c r="H6" s="92">
        <f t="shared" si="0"/>
        <v>23232</v>
      </c>
      <c r="I6" s="93">
        <f t="shared" si="1"/>
        <v>23232</v>
      </c>
      <c r="J6" s="85">
        <v>220</v>
      </c>
      <c r="K6" s="94">
        <v>200</v>
      </c>
      <c r="L6" s="85"/>
    </row>
    <row r="7" spans="1:12" x14ac:dyDescent="0.3">
      <c r="A7" s="88">
        <v>5</v>
      </c>
      <c r="B7" s="89" t="s">
        <v>173</v>
      </c>
      <c r="C7" s="90" t="s">
        <v>174</v>
      </c>
      <c r="D7" s="88" t="s">
        <v>166</v>
      </c>
      <c r="E7" s="88">
        <v>2</v>
      </c>
      <c r="F7" s="88">
        <v>8406</v>
      </c>
      <c r="G7" s="91">
        <v>0.18</v>
      </c>
      <c r="H7" s="92">
        <f t="shared" si="0"/>
        <v>950.40000000000009</v>
      </c>
      <c r="I7" s="93">
        <f t="shared" si="1"/>
        <v>1900.8000000000002</v>
      </c>
      <c r="J7" s="85">
        <v>9</v>
      </c>
      <c r="K7" s="94">
        <v>8</v>
      </c>
      <c r="L7" s="85"/>
    </row>
    <row r="8" spans="1:12" x14ac:dyDescent="0.3">
      <c r="A8" s="88">
        <v>6</v>
      </c>
      <c r="B8" s="89" t="s">
        <v>175</v>
      </c>
      <c r="C8" s="90" t="s">
        <v>176</v>
      </c>
      <c r="D8" s="88" t="s">
        <v>166</v>
      </c>
      <c r="E8" s="88">
        <v>1</v>
      </c>
      <c r="F8" s="88">
        <v>8406</v>
      </c>
      <c r="G8" s="91">
        <v>0.18</v>
      </c>
      <c r="H8" s="92">
        <f t="shared" si="0"/>
        <v>950.40000000000009</v>
      </c>
      <c r="I8" s="93">
        <f t="shared" si="1"/>
        <v>950.40000000000009</v>
      </c>
      <c r="J8" s="85">
        <v>9</v>
      </c>
      <c r="K8" s="94">
        <v>8</v>
      </c>
      <c r="L8" s="85"/>
    </row>
    <row r="9" spans="1:12" x14ac:dyDescent="0.3">
      <c r="A9" s="88">
        <v>7</v>
      </c>
      <c r="B9" s="89" t="s">
        <v>177</v>
      </c>
      <c r="C9" s="90" t="s">
        <v>178</v>
      </c>
      <c r="D9" s="88" t="s">
        <v>166</v>
      </c>
      <c r="E9" s="88">
        <v>2</v>
      </c>
      <c r="F9" s="88">
        <v>8406</v>
      </c>
      <c r="G9" s="91">
        <v>0.18</v>
      </c>
      <c r="H9" s="92">
        <f t="shared" si="0"/>
        <v>950.40000000000009</v>
      </c>
      <c r="I9" s="93">
        <f t="shared" si="1"/>
        <v>1900.8000000000002</v>
      </c>
      <c r="J9" s="85">
        <v>9</v>
      </c>
      <c r="K9" s="94">
        <v>8</v>
      </c>
      <c r="L9" s="85"/>
    </row>
    <row r="10" spans="1:12" x14ac:dyDescent="0.3">
      <c r="A10" s="88">
        <v>8</v>
      </c>
      <c r="B10" s="89" t="s">
        <v>179</v>
      </c>
      <c r="C10" s="90" t="s">
        <v>180</v>
      </c>
      <c r="D10" s="88" t="s">
        <v>166</v>
      </c>
      <c r="E10" s="88">
        <v>1</v>
      </c>
      <c r="F10" s="88">
        <v>8406</v>
      </c>
      <c r="G10" s="91">
        <v>0.18</v>
      </c>
      <c r="H10" s="92">
        <f t="shared" si="0"/>
        <v>950.40000000000009</v>
      </c>
      <c r="I10" s="93">
        <f t="shared" si="1"/>
        <v>950.40000000000009</v>
      </c>
      <c r="J10" s="85">
        <v>9</v>
      </c>
      <c r="K10" s="94">
        <v>8</v>
      </c>
      <c r="L10" s="85"/>
    </row>
    <row r="11" spans="1:12" ht="69" x14ac:dyDescent="0.3">
      <c r="A11" s="88">
        <v>9</v>
      </c>
      <c r="B11" s="89"/>
      <c r="C11" s="90" t="s">
        <v>183</v>
      </c>
      <c r="D11" s="88" t="s">
        <v>56</v>
      </c>
      <c r="E11" s="88">
        <v>1</v>
      </c>
      <c r="F11" s="88">
        <v>8406</v>
      </c>
      <c r="G11" s="91">
        <v>0.18</v>
      </c>
      <c r="H11" s="104" t="s">
        <v>184</v>
      </c>
      <c r="I11" s="93">
        <v>0</v>
      </c>
      <c r="J11" s="85"/>
      <c r="K11" s="94"/>
      <c r="L11" s="85"/>
    </row>
    <row r="12" spans="1:12" x14ac:dyDescent="0.3">
      <c r="A12" s="88">
        <v>10</v>
      </c>
      <c r="B12" s="237" t="s">
        <v>98</v>
      </c>
      <c r="C12" s="237"/>
      <c r="D12" s="237"/>
      <c r="E12" s="237"/>
      <c r="F12" s="237"/>
      <c r="G12" s="237"/>
      <c r="H12" s="237"/>
      <c r="I12" s="97">
        <f>SUM(I3:I11)</f>
        <v>502233.60000000003</v>
      </c>
      <c r="J12" s="85"/>
      <c r="K12" s="85"/>
      <c r="L12" s="85"/>
    </row>
    <row r="13" spans="1:12" x14ac:dyDescent="0.3">
      <c r="A13" s="88">
        <v>11</v>
      </c>
      <c r="B13" s="237" t="s">
        <v>99</v>
      </c>
      <c r="C13" s="237"/>
      <c r="D13" s="237"/>
      <c r="E13" s="237"/>
      <c r="F13" s="237"/>
      <c r="G13" s="237"/>
      <c r="H13" s="237"/>
      <c r="I13" s="97">
        <f>I12*18%</f>
        <v>90402.04800000001</v>
      </c>
      <c r="J13" s="85"/>
      <c r="K13" s="85"/>
      <c r="L13" s="85"/>
    </row>
    <row r="14" spans="1:12" ht="14.4" thickBot="1" x14ac:dyDescent="0.35">
      <c r="A14" s="88">
        <v>12</v>
      </c>
      <c r="B14" s="237" t="s">
        <v>9</v>
      </c>
      <c r="C14" s="237"/>
      <c r="D14" s="237"/>
      <c r="E14" s="237"/>
      <c r="F14" s="237"/>
      <c r="G14" s="237"/>
      <c r="H14" s="237"/>
      <c r="I14" s="97">
        <f>I12+I13</f>
        <v>592635.64800000004</v>
      </c>
      <c r="J14" s="85"/>
      <c r="K14" s="85"/>
      <c r="L14" s="85"/>
    </row>
    <row r="15" spans="1:12" x14ac:dyDescent="0.3">
      <c r="A15" s="98"/>
      <c r="B15" s="238"/>
      <c r="C15" s="238"/>
      <c r="D15" s="238"/>
      <c r="E15" s="238"/>
      <c r="F15" s="238"/>
      <c r="G15" s="238"/>
      <c r="H15" s="238"/>
      <c r="I15" s="239"/>
      <c r="J15" s="99"/>
      <c r="K15" s="85"/>
      <c r="L15" s="85"/>
    </row>
    <row r="16" spans="1:12" s="95" customFormat="1" x14ac:dyDescent="0.3">
      <c r="A16" s="240" t="s">
        <v>12</v>
      </c>
      <c r="B16" s="241"/>
      <c r="C16" s="241"/>
      <c r="D16" s="241"/>
      <c r="E16" s="241"/>
      <c r="F16" s="241"/>
      <c r="G16" s="241"/>
      <c r="H16" s="241"/>
      <c r="I16" s="242"/>
      <c r="J16" s="100"/>
      <c r="K16" s="85"/>
    </row>
    <row r="17" spans="1:9" s="95" customFormat="1" ht="124.2" x14ac:dyDescent="0.3">
      <c r="A17" s="101" t="s">
        <v>13</v>
      </c>
      <c r="B17" s="232" t="s">
        <v>161</v>
      </c>
      <c r="C17" s="232"/>
      <c r="D17" s="232"/>
      <c r="E17" s="232"/>
      <c r="F17" s="232"/>
      <c r="G17" s="232"/>
      <c r="H17" s="232"/>
      <c r="I17" s="233"/>
    </row>
  </sheetData>
  <mergeCells count="7">
    <mergeCell ref="B17:I17"/>
    <mergeCell ref="A1:E1"/>
    <mergeCell ref="B12:H12"/>
    <mergeCell ref="B13:H13"/>
    <mergeCell ref="B14:H14"/>
    <mergeCell ref="B15:I15"/>
    <mergeCell ref="A16:I16"/>
  </mergeCells>
  <hyperlinks>
    <hyperlink ref="B16" r:id="rId1" display="CST@2%" xr:uid="{00000000-0004-0000-10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9"/>
  <sheetViews>
    <sheetView workbookViewId="0">
      <selection activeCell="H3" sqref="H3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60</v>
      </c>
      <c r="L2" s="80" t="s">
        <v>153</v>
      </c>
    </row>
    <row r="3" spans="1:12" ht="55.2" x14ac:dyDescent="0.3">
      <c r="A3" s="88">
        <v>1</v>
      </c>
      <c r="B3" s="89" t="s">
        <v>122</v>
      </c>
      <c r="C3" s="90" t="s">
        <v>186</v>
      </c>
      <c r="D3" s="88" t="s">
        <v>166</v>
      </c>
      <c r="E3" s="88">
        <v>2</v>
      </c>
      <c r="F3" s="88">
        <v>8481</v>
      </c>
      <c r="G3" s="91">
        <v>0.18</v>
      </c>
      <c r="H3" s="92">
        <f>J3*82*1.3</f>
        <v>229190</v>
      </c>
      <c r="I3" s="93">
        <f t="shared" ref="I3" si="0">H3*E3</f>
        <v>458380</v>
      </c>
      <c r="J3" s="85">
        <v>2150</v>
      </c>
      <c r="K3" s="94">
        <f>2072*1.03</f>
        <v>2134.16</v>
      </c>
      <c r="L3" s="85">
        <v>2150</v>
      </c>
    </row>
    <row r="4" spans="1:12" x14ac:dyDescent="0.3">
      <c r="A4" s="88">
        <v>2</v>
      </c>
      <c r="B4" s="237" t="s">
        <v>98</v>
      </c>
      <c r="C4" s="237"/>
      <c r="D4" s="237"/>
      <c r="E4" s="237"/>
      <c r="F4" s="237"/>
      <c r="G4" s="237"/>
      <c r="H4" s="237"/>
      <c r="I4" s="97">
        <f>SUM(I3:I3)</f>
        <v>458380</v>
      </c>
      <c r="J4" s="85"/>
      <c r="K4" s="85"/>
      <c r="L4" s="85"/>
    </row>
    <row r="5" spans="1:12" x14ac:dyDescent="0.3">
      <c r="A5" s="88">
        <v>3</v>
      </c>
      <c r="B5" s="237" t="s">
        <v>99</v>
      </c>
      <c r="C5" s="237"/>
      <c r="D5" s="237"/>
      <c r="E5" s="237"/>
      <c r="F5" s="237"/>
      <c r="G5" s="237"/>
      <c r="H5" s="237"/>
      <c r="I5" s="97">
        <f>I4*18%</f>
        <v>82508.399999999994</v>
      </c>
      <c r="J5" s="85"/>
      <c r="K5" s="85"/>
      <c r="L5" s="85"/>
    </row>
    <row r="6" spans="1:12" ht="14.4" thickBot="1" x14ac:dyDescent="0.35">
      <c r="A6" s="88">
        <v>4</v>
      </c>
      <c r="B6" s="237" t="s">
        <v>9</v>
      </c>
      <c r="C6" s="237"/>
      <c r="D6" s="237"/>
      <c r="E6" s="237"/>
      <c r="F6" s="237"/>
      <c r="G6" s="237"/>
      <c r="H6" s="237"/>
      <c r="I6" s="97">
        <f>I4+I5</f>
        <v>540888.4</v>
      </c>
      <c r="J6" s="85"/>
      <c r="K6" s="85"/>
      <c r="L6" s="85"/>
    </row>
    <row r="7" spans="1:12" x14ac:dyDescent="0.3">
      <c r="A7" s="98"/>
      <c r="B7" s="238"/>
      <c r="C7" s="238"/>
      <c r="D7" s="238"/>
      <c r="E7" s="238"/>
      <c r="F7" s="238"/>
      <c r="G7" s="238"/>
      <c r="H7" s="238"/>
      <c r="I7" s="239"/>
      <c r="J7" s="99"/>
      <c r="K7" s="85"/>
      <c r="L7" s="85"/>
    </row>
    <row r="8" spans="1:12" s="95" customFormat="1" x14ac:dyDescent="0.3">
      <c r="A8" s="240" t="s">
        <v>12</v>
      </c>
      <c r="B8" s="241"/>
      <c r="C8" s="241"/>
      <c r="D8" s="241"/>
      <c r="E8" s="241"/>
      <c r="F8" s="241"/>
      <c r="G8" s="241"/>
      <c r="H8" s="241"/>
      <c r="I8" s="242"/>
      <c r="J8" s="100"/>
      <c r="K8" s="85"/>
    </row>
    <row r="9" spans="1:12" s="95" customFormat="1" ht="124.2" x14ac:dyDescent="0.3">
      <c r="A9" s="101" t="s">
        <v>13</v>
      </c>
      <c r="B9" s="232" t="s">
        <v>187</v>
      </c>
      <c r="C9" s="232"/>
      <c r="D9" s="232"/>
      <c r="E9" s="232"/>
      <c r="F9" s="232"/>
      <c r="G9" s="232"/>
      <c r="H9" s="232"/>
      <c r="I9" s="233"/>
      <c r="J9" s="102"/>
      <c r="K9" s="85"/>
      <c r="L9" s="95">
        <f>2367*77*1.27</f>
        <v>231468.93</v>
      </c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11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3"/>
  <sheetViews>
    <sheetView workbookViewId="0">
      <selection activeCell="J10" sqref="J10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193</v>
      </c>
      <c r="L2" s="80" t="s">
        <v>153</v>
      </c>
    </row>
    <row r="3" spans="1:12" x14ac:dyDescent="0.3">
      <c r="A3" s="88">
        <v>1</v>
      </c>
      <c r="B3" s="88">
        <v>4000016134</v>
      </c>
      <c r="C3" s="90" t="s">
        <v>188</v>
      </c>
      <c r="D3" s="88" t="s">
        <v>166</v>
      </c>
      <c r="E3" s="88">
        <v>2</v>
      </c>
      <c r="F3" s="88">
        <v>8406</v>
      </c>
      <c r="G3" s="91">
        <v>0.18</v>
      </c>
      <c r="H3" s="92">
        <f>J3*78*1.3</f>
        <v>29406</v>
      </c>
      <c r="I3" s="93">
        <f t="shared" ref="I3:I4" si="0">H3*E3</f>
        <v>58812</v>
      </c>
      <c r="J3" s="85">
        <v>290</v>
      </c>
      <c r="K3" s="94">
        <v>280</v>
      </c>
      <c r="L3" s="85"/>
    </row>
    <row r="4" spans="1:12" x14ac:dyDescent="0.3">
      <c r="A4" s="88">
        <v>2</v>
      </c>
      <c r="B4" s="88">
        <v>4000016135</v>
      </c>
      <c r="C4" s="90" t="s">
        <v>189</v>
      </c>
      <c r="D4" s="88" t="s">
        <v>166</v>
      </c>
      <c r="E4" s="88">
        <v>16</v>
      </c>
      <c r="F4" s="88">
        <v>8406</v>
      </c>
      <c r="G4" s="91">
        <v>0.18</v>
      </c>
      <c r="H4" s="92">
        <f>J4*78*1.3</f>
        <v>177.45000000000002</v>
      </c>
      <c r="I4" s="93">
        <f t="shared" si="0"/>
        <v>2839.2000000000003</v>
      </c>
      <c r="J4" s="85">
        <v>1.75</v>
      </c>
      <c r="K4" s="94">
        <v>1.5</v>
      </c>
      <c r="L4" s="85"/>
    </row>
    <row r="5" spans="1:12" x14ac:dyDescent="0.3">
      <c r="A5" s="88">
        <v>3</v>
      </c>
      <c r="B5" s="88">
        <v>4000016136</v>
      </c>
      <c r="C5" s="90" t="s">
        <v>190</v>
      </c>
      <c r="D5" s="88" t="s">
        <v>166</v>
      </c>
      <c r="E5" s="88">
        <v>2</v>
      </c>
      <c r="F5" s="88">
        <v>8406</v>
      </c>
      <c r="G5" s="91">
        <v>0.18</v>
      </c>
      <c r="H5" s="92">
        <f>J5*78*1.3</f>
        <v>29406</v>
      </c>
      <c r="I5" s="93">
        <f t="shared" ref="I5:I6" si="1">H5*E5</f>
        <v>58812</v>
      </c>
      <c r="J5" s="85">
        <v>290</v>
      </c>
      <c r="K5" s="94">
        <v>280</v>
      </c>
      <c r="L5" s="85"/>
    </row>
    <row r="6" spans="1:12" x14ac:dyDescent="0.3">
      <c r="A6" s="88">
        <v>4</v>
      </c>
      <c r="B6" s="88">
        <v>4000016137</v>
      </c>
      <c r="C6" s="90" t="s">
        <v>191</v>
      </c>
      <c r="D6" s="88" t="s">
        <v>166</v>
      </c>
      <c r="E6" s="88">
        <v>2</v>
      </c>
      <c r="F6" s="88">
        <v>8406</v>
      </c>
      <c r="G6" s="91">
        <v>0.18</v>
      </c>
      <c r="H6" s="92">
        <f>J6*78*1.3</f>
        <v>29406</v>
      </c>
      <c r="I6" s="93">
        <f t="shared" si="1"/>
        <v>58812</v>
      </c>
      <c r="J6" s="85">
        <v>290</v>
      </c>
      <c r="K6" s="94">
        <v>280</v>
      </c>
      <c r="L6" s="85"/>
    </row>
    <row r="7" spans="1:12" x14ac:dyDescent="0.3">
      <c r="A7" s="88">
        <v>5</v>
      </c>
      <c r="B7" s="88">
        <v>4000016138</v>
      </c>
      <c r="C7" s="90" t="s">
        <v>192</v>
      </c>
      <c r="D7" s="88" t="s">
        <v>166</v>
      </c>
      <c r="E7" s="88">
        <v>2</v>
      </c>
      <c r="F7" s="88">
        <v>8406</v>
      </c>
      <c r="G7" s="91">
        <v>0.18</v>
      </c>
      <c r="H7" s="92">
        <f>J7*78*1.3</f>
        <v>22308</v>
      </c>
      <c r="I7" s="93">
        <f t="shared" ref="I7" si="2">H7*E7</f>
        <v>44616</v>
      </c>
      <c r="J7" s="85">
        <v>220</v>
      </c>
      <c r="K7" s="94">
        <v>198</v>
      </c>
      <c r="L7" s="85"/>
    </row>
    <row r="8" spans="1:12" x14ac:dyDescent="0.3">
      <c r="A8" s="88">
        <v>6</v>
      </c>
      <c r="B8" s="237" t="s">
        <v>98</v>
      </c>
      <c r="C8" s="237"/>
      <c r="D8" s="237"/>
      <c r="E8" s="237"/>
      <c r="F8" s="237"/>
      <c r="G8" s="237"/>
      <c r="H8" s="237"/>
      <c r="I8" s="97">
        <f>SUM(I2:I7)</f>
        <v>223891.20000000001</v>
      </c>
      <c r="J8" s="85"/>
      <c r="K8" s="85"/>
      <c r="L8" s="85"/>
    </row>
    <row r="9" spans="1:12" x14ac:dyDescent="0.3">
      <c r="A9" s="88">
        <v>7</v>
      </c>
      <c r="B9" s="237" t="s">
        <v>99</v>
      </c>
      <c r="C9" s="237"/>
      <c r="D9" s="237"/>
      <c r="E9" s="237"/>
      <c r="F9" s="237"/>
      <c r="G9" s="237"/>
      <c r="H9" s="237"/>
      <c r="I9" s="97">
        <f>I8*18%</f>
        <v>40300.415999999997</v>
      </c>
      <c r="J9" s="85"/>
      <c r="K9" s="85"/>
      <c r="L9" s="85"/>
    </row>
    <row r="10" spans="1:12" ht="14.4" thickBot="1" x14ac:dyDescent="0.35">
      <c r="A10" s="88">
        <v>8</v>
      </c>
      <c r="B10" s="237" t="s">
        <v>9</v>
      </c>
      <c r="C10" s="237"/>
      <c r="D10" s="237"/>
      <c r="E10" s="237"/>
      <c r="F10" s="237"/>
      <c r="G10" s="237"/>
      <c r="H10" s="237"/>
      <c r="I10" s="97">
        <f>I8+I9</f>
        <v>264191.61600000004</v>
      </c>
      <c r="J10" s="85"/>
      <c r="K10" s="85"/>
      <c r="L10" s="85"/>
    </row>
    <row r="11" spans="1:12" x14ac:dyDescent="0.3">
      <c r="A11" s="98"/>
      <c r="B11" s="238"/>
      <c r="C11" s="238"/>
      <c r="D11" s="238"/>
      <c r="E11" s="238"/>
      <c r="F11" s="238"/>
      <c r="G11" s="238"/>
      <c r="H11" s="238"/>
      <c r="I11" s="239"/>
      <c r="J11" s="99"/>
      <c r="K11" s="85"/>
      <c r="L11" s="85"/>
    </row>
    <row r="12" spans="1:12" s="95" customFormat="1" x14ac:dyDescent="0.3">
      <c r="A12" s="240" t="s">
        <v>12</v>
      </c>
      <c r="B12" s="241"/>
      <c r="C12" s="241"/>
      <c r="D12" s="241"/>
      <c r="E12" s="241"/>
      <c r="F12" s="241"/>
      <c r="G12" s="241"/>
      <c r="H12" s="241"/>
      <c r="I12" s="242"/>
      <c r="J12" s="100"/>
      <c r="K12" s="85"/>
    </row>
    <row r="13" spans="1:12" s="95" customFormat="1" ht="124.2" x14ac:dyDescent="0.3">
      <c r="A13" s="101" t="s">
        <v>13</v>
      </c>
      <c r="B13" s="232" t="s">
        <v>187</v>
      </c>
      <c r="C13" s="232"/>
      <c r="D13" s="232"/>
      <c r="E13" s="232"/>
      <c r="F13" s="232"/>
      <c r="G13" s="232"/>
      <c r="H13" s="232"/>
      <c r="I13" s="233"/>
      <c r="J13" s="102"/>
      <c r="K13" s="85"/>
      <c r="L13" s="95">
        <f>2367*77*1.27</f>
        <v>231468.93</v>
      </c>
    </row>
  </sheetData>
  <mergeCells count="7">
    <mergeCell ref="B13:I13"/>
    <mergeCell ref="A1:E1"/>
    <mergeCell ref="B8:H8"/>
    <mergeCell ref="B9:H9"/>
    <mergeCell ref="B10:H10"/>
    <mergeCell ref="B11:I11"/>
    <mergeCell ref="A12:I12"/>
  </mergeCells>
  <hyperlinks>
    <hyperlink ref="B12" r:id="rId1" display="CST@2%" xr:uid="{00000000-0004-0000-12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9"/>
  <sheetViews>
    <sheetView workbookViewId="0">
      <selection activeCell="A9" sqref="A2:I9"/>
    </sheetView>
  </sheetViews>
  <sheetFormatPr defaultColWidth="9.109375" defaultRowHeight="13.8" x14ac:dyDescent="0.3"/>
  <cols>
    <col min="1" max="1" width="6.109375" style="87" customWidth="1"/>
    <col min="2" max="2" width="9.88671875" style="95" bestFit="1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158</v>
      </c>
      <c r="C2" s="78" t="s">
        <v>1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60</v>
      </c>
      <c r="L2" s="80" t="s">
        <v>97</v>
      </c>
    </row>
    <row r="3" spans="1:12" ht="262.2" x14ac:dyDescent="0.3">
      <c r="A3" s="88">
        <v>1</v>
      </c>
      <c r="B3" s="89" t="s">
        <v>122</v>
      </c>
      <c r="C3" s="90" t="s">
        <v>194</v>
      </c>
      <c r="D3" s="88" t="s">
        <v>56</v>
      </c>
      <c r="E3" s="88">
        <v>1</v>
      </c>
      <c r="F3" s="88">
        <v>8413</v>
      </c>
      <c r="G3" s="91">
        <v>0.18</v>
      </c>
      <c r="H3" s="92">
        <f>J3*77*1.3</f>
        <v>135135</v>
      </c>
      <c r="I3" s="93">
        <f>H3*E3</f>
        <v>135135</v>
      </c>
      <c r="J3" s="85">
        <v>1350</v>
      </c>
      <c r="K3" s="94">
        <f>1250*1.05</f>
        <v>1312.5</v>
      </c>
      <c r="L3" s="85"/>
    </row>
    <row r="4" spans="1:12" x14ac:dyDescent="0.3">
      <c r="A4" s="88">
        <v>2</v>
      </c>
      <c r="B4" s="237" t="s">
        <v>98</v>
      </c>
      <c r="C4" s="237"/>
      <c r="D4" s="237"/>
      <c r="E4" s="237"/>
      <c r="F4" s="237"/>
      <c r="G4" s="237"/>
      <c r="H4" s="237"/>
      <c r="I4" s="97">
        <f>SUM(I3:I3)</f>
        <v>135135</v>
      </c>
      <c r="J4" s="85"/>
      <c r="K4" s="85"/>
      <c r="L4" s="85"/>
    </row>
    <row r="5" spans="1:12" x14ac:dyDescent="0.3">
      <c r="A5" s="88">
        <v>3</v>
      </c>
      <c r="B5" s="237" t="s">
        <v>99</v>
      </c>
      <c r="C5" s="237"/>
      <c r="D5" s="237"/>
      <c r="E5" s="237"/>
      <c r="F5" s="237"/>
      <c r="G5" s="237"/>
      <c r="H5" s="237"/>
      <c r="I5" s="97">
        <f>I4*18%</f>
        <v>24324.3</v>
      </c>
      <c r="J5" s="85"/>
      <c r="K5" s="85"/>
      <c r="L5" s="85"/>
    </row>
    <row r="6" spans="1:12" ht="14.4" thickBot="1" x14ac:dyDescent="0.35">
      <c r="A6" s="88">
        <v>4</v>
      </c>
      <c r="B6" s="237" t="s">
        <v>9</v>
      </c>
      <c r="C6" s="237"/>
      <c r="D6" s="237"/>
      <c r="E6" s="237"/>
      <c r="F6" s="237"/>
      <c r="G6" s="237"/>
      <c r="H6" s="237"/>
      <c r="I6" s="97">
        <f>I4+I5</f>
        <v>159459.29999999999</v>
      </c>
      <c r="J6" s="85"/>
      <c r="K6" s="85"/>
      <c r="L6" s="85"/>
    </row>
    <row r="7" spans="1:12" x14ac:dyDescent="0.3">
      <c r="A7" s="98"/>
      <c r="B7" s="238"/>
      <c r="C7" s="238"/>
      <c r="D7" s="238"/>
      <c r="E7" s="238"/>
      <c r="F7" s="238"/>
      <c r="G7" s="238"/>
      <c r="H7" s="238"/>
      <c r="I7" s="239"/>
      <c r="J7" s="99"/>
      <c r="K7" s="85"/>
      <c r="L7" s="85"/>
    </row>
    <row r="8" spans="1:12" s="95" customFormat="1" x14ac:dyDescent="0.3">
      <c r="A8" s="240" t="s">
        <v>12</v>
      </c>
      <c r="B8" s="241"/>
      <c r="C8" s="241"/>
      <c r="D8" s="241"/>
      <c r="E8" s="241"/>
      <c r="F8" s="241"/>
      <c r="G8" s="241"/>
      <c r="H8" s="241"/>
      <c r="I8" s="242"/>
      <c r="J8" s="100"/>
      <c r="K8" s="85"/>
    </row>
    <row r="9" spans="1:12" s="95" customFormat="1" ht="124.2" x14ac:dyDescent="0.3">
      <c r="A9" s="101" t="s">
        <v>13</v>
      </c>
      <c r="B9" s="232" t="s">
        <v>195</v>
      </c>
      <c r="C9" s="232"/>
      <c r="D9" s="232"/>
      <c r="E9" s="232"/>
      <c r="F9" s="232"/>
      <c r="G9" s="232"/>
      <c r="H9" s="232"/>
      <c r="I9" s="233"/>
      <c r="J9" s="102"/>
      <c r="K9" s="85"/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13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6"/>
  <sheetViews>
    <sheetView topLeftCell="A3" workbookViewId="0">
      <selection activeCell="B16" sqref="B16:I16"/>
    </sheetView>
  </sheetViews>
  <sheetFormatPr defaultColWidth="9.109375" defaultRowHeight="13.8" x14ac:dyDescent="0.3"/>
  <cols>
    <col min="1" max="1" width="6.109375" style="13" customWidth="1"/>
    <col min="2" max="2" width="12.5546875" style="6" customWidth="1"/>
    <col min="3" max="3" width="35.88671875" style="6" customWidth="1"/>
    <col min="4" max="4" width="5.88671875" style="14" bestFit="1" customWidth="1"/>
    <col min="5" max="5" width="5.33203125" style="14" customWidth="1"/>
    <col min="6" max="6" width="9" style="14" bestFit="1" customWidth="1"/>
    <col min="7" max="7" width="8.5546875" style="14" customWidth="1"/>
    <col min="8" max="8" width="13.33203125" style="14" customWidth="1"/>
    <col min="9" max="9" width="13.33203125" style="14" bestFit="1" customWidth="1"/>
    <col min="10" max="10" width="11" style="112" bestFit="1" customWidth="1"/>
    <col min="11" max="11" width="10.44140625" style="112" bestFit="1" customWidth="1"/>
    <col min="12" max="12" width="18.6640625" style="112" bestFit="1" customWidth="1"/>
    <col min="13" max="13" width="10.5546875" style="14" bestFit="1" customWidth="1"/>
    <col min="14" max="16384" width="9.109375" style="14"/>
  </cols>
  <sheetData>
    <row r="1" spans="1:12" s="13" customFormat="1" ht="13.5" customHeight="1" thickBot="1" x14ac:dyDescent="0.35">
      <c r="A1" s="243"/>
      <c r="B1" s="244"/>
      <c r="C1" s="244"/>
      <c r="D1" s="244"/>
      <c r="E1" s="245"/>
      <c r="F1" s="106"/>
      <c r="G1" s="107"/>
      <c r="H1" s="107"/>
      <c r="I1" s="108"/>
      <c r="J1" s="2"/>
      <c r="K1" s="3"/>
      <c r="L1" s="3"/>
    </row>
    <row r="2" spans="1:12" s="109" customFormat="1" x14ac:dyDescent="0.3">
      <c r="A2" s="22" t="s">
        <v>0</v>
      </c>
      <c r="B2" s="23" t="s">
        <v>185</v>
      </c>
      <c r="C2" s="22" t="s">
        <v>182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154</v>
      </c>
      <c r="J2" s="24" t="s">
        <v>61</v>
      </c>
      <c r="K2" s="24" t="s">
        <v>196</v>
      </c>
      <c r="L2" s="24" t="s">
        <v>153</v>
      </c>
    </row>
    <row r="3" spans="1:12" x14ac:dyDescent="0.3">
      <c r="A3" s="27">
        <v>1</v>
      </c>
      <c r="B3" s="27">
        <v>4000006727</v>
      </c>
      <c r="C3" s="113" t="s">
        <v>197</v>
      </c>
      <c r="D3" s="27" t="s">
        <v>166</v>
      </c>
      <c r="E3" s="27">
        <v>1</v>
      </c>
      <c r="F3" s="27">
        <v>8406</v>
      </c>
      <c r="G3" s="30">
        <v>0.18</v>
      </c>
      <c r="H3" s="31">
        <f>J3*80*1.32</f>
        <v>153120</v>
      </c>
      <c r="I3" s="32">
        <f t="shared" ref="I3:I5" si="0">H3*E3</f>
        <v>153120</v>
      </c>
      <c r="J3" s="2">
        <v>1450</v>
      </c>
      <c r="K3" s="110">
        <v>1305</v>
      </c>
      <c r="L3" s="2"/>
    </row>
    <row r="4" spans="1:12" x14ac:dyDescent="0.3">
      <c r="A4" s="27">
        <v>2</v>
      </c>
      <c r="B4" s="27">
        <v>4000006728</v>
      </c>
      <c r="C4" s="113" t="s">
        <v>198</v>
      </c>
      <c r="D4" s="27" t="s">
        <v>166</v>
      </c>
      <c r="E4" s="27">
        <v>1</v>
      </c>
      <c r="F4" s="27">
        <v>8406</v>
      </c>
      <c r="G4" s="30">
        <v>0.18</v>
      </c>
      <c r="H4" s="31">
        <f t="shared" ref="H4:H10" si="1">J4*80*1.32</f>
        <v>138336</v>
      </c>
      <c r="I4" s="32">
        <f t="shared" si="0"/>
        <v>138336</v>
      </c>
      <c r="J4" s="2">
        <v>1310</v>
      </c>
      <c r="K4" s="110">
        <v>1130</v>
      </c>
      <c r="L4" s="2"/>
    </row>
    <row r="5" spans="1:12" x14ac:dyDescent="0.3">
      <c r="A5" s="27">
        <v>3</v>
      </c>
      <c r="B5" s="27">
        <v>4000006729</v>
      </c>
      <c r="C5" s="113" t="s">
        <v>199</v>
      </c>
      <c r="D5" s="27" t="s">
        <v>166</v>
      </c>
      <c r="E5" s="27">
        <v>1</v>
      </c>
      <c r="F5" s="27">
        <v>8406</v>
      </c>
      <c r="G5" s="30">
        <v>0.18</v>
      </c>
      <c r="H5" s="31">
        <f t="shared" si="1"/>
        <v>116160</v>
      </c>
      <c r="I5" s="32">
        <f t="shared" si="0"/>
        <v>116160</v>
      </c>
      <c r="J5" s="2">
        <v>1100</v>
      </c>
      <c r="K5" s="110">
        <v>943</v>
      </c>
      <c r="L5" s="2"/>
    </row>
    <row r="6" spans="1:12" x14ac:dyDescent="0.3">
      <c r="A6" s="27">
        <v>4</v>
      </c>
      <c r="B6" s="27">
        <v>4000013744</v>
      </c>
      <c r="C6" s="113" t="s">
        <v>200</v>
      </c>
      <c r="D6" s="27" t="s">
        <v>166</v>
      </c>
      <c r="E6" s="27">
        <v>2</v>
      </c>
      <c r="F6" s="27">
        <v>8406</v>
      </c>
      <c r="G6" s="30">
        <v>0.18</v>
      </c>
      <c r="H6" s="31" t="s">
        <v>205</v>
      </c>
      <c r="I6" s="32">
        <v>0</v>
      </c>
      <c r="J6" s="2"/>
      <c r="K6" s="110"/>
      <c r="L6" s="2"/>
    </row>
    <row r="7" spans="1:12" x14ac:dyDescent="0.3">
      <c r="A7" s="27">
        <v>5</v>
      </c>
      <c r="B7" s="27">
        <v>7000003602</v>
      </c>
      <c r="C7" s="113" t="s">
        <v>201</v>
      </c>
      <c r="D7" s="27" t="s">
        <v>166</v>
      </c>
      <c r="E7" s="27">
        <v>4</v>
      </c>
      <c r="F7" s="27">
        <v>8406</v>
      </c>
      <c r="G7" s="30">
        <v>0.18</v>
      </c>
      <c r="H7" s="31">
        <f t="shared" si="1"/>
        <v>6969.6</v>
      </c>
      <c r="I7" s="32">
        <f t="shared" ref="I7:I10" si="2">H7*E7</f>
        <v>27878.400000000001</v>
      </c>
      <c r="J7" s="2">
        <v>66</v>
      </c>
      <c r="K7" s="110">
        <v>56</v>
      </c>
      <c r="L7" s="2"/>
    </row>
    <row r="8" spans="1:12" x14ac:dyDescent="0.3">
      <c r="A8" s="27">
        <v>6</v>
      </c>
      <c r="B8" s="27">
        <v>4000016302</v>
      </c>
      <c r="C8" s="113" t="s">
        <v>202</v>
      </c>
      <c r="D8" s="27" t="s">
        <v>166</v>
      </c>
      <c r="E8" s="27">
        <v>2</v>
      </c>
      <c r="F8" s="27">
        <v>8406</v>
      </c>
      <c r="G8" s="30">
        <v>0.18</v>
      </c>
      <c r="H8" s="31">
        <f t="shared" si="1"/>
        <v>1161.6000000000001</v>
      </c>
      <c r="I8" s="32">
        <f t="shared" si="2"/>
        <v>2323.2000000000003</v>
      </c>
      <c r="J8" s="2">
        <v>11</v>
      </c>
      <c r="K8" s="110">
        <v>8</v>
      </c>
      <c r="L8" s="2"/>
    </row>
    <row r="9" spans="1:12" x14ac:dyDescent="0.3">
      <c r="A9" s="27">
        <v>7</v>
      </c>
      <c r="B9" s="27">
        <v>4000006718</v>
      </c>
      <c r="C9" s="113" t="s">
        <v>203</v>
      </c>
      <c r="D9" s="27" t="s">
        <v>166</v>
      </c>
      <c r="E9" s="27">
        <v>2</v>
      </c>
      <c r="F9" s="27">
        <v>8406</v>
      </c>
      <c r="G9" s="30">
        <v>0.18</v>
      </c>
      <c r="H9" s="31">
        <f t="shared" si="1"/>
        <v>198528</v>
      </c>
      <c r="I9" s="32">
        <f t="shared" si="2"/>
        <v>397056</v>
      </c>
      <c r="J9" s="2">
        <v>1880</v>
      </c>
      <c r="K9" s="110">
        <v>1520</v>
      </c>
      <c r="L9" s="2"/>
    </row>
    <row r="10" spans="1:12" x14ac:dyDescent="0.3">
      <c r="A10" s="27">
        <v>8</v>
      </c>
      <c r="B10" s="27">
        <v>4000016303</v>
      </c>
      <c r="C10" s="113" t="s">
        <v>204</v>
      </c>
      <c r="D10" s="27" t="s">
        <v>166</v>
      </c>
      <c r="E10" s="27">
        <v>16</v>
      </c>
      <c r="F10" s="27">
        <v>8406</v>
      </c>
      <c r="G10" s="30">
        <v>0.18</v>
      </c>
      <c r="H10" s="31">
        <f t="shared" si="1"/>
        <v>2112</v>
      </c>
      <c r="I10" s="32">
        <f t="shared" si="2"/>
        <v>33792</v>
      </c>
      <c r="J10" s="2">
        <v>20</v>
      </c>
      <c r="K10" s="110">
        <v>16</v>
      </c>
      <c r="L10" s="2"/>
    </row>
    <row r="11" spans="1:12" x14ac:dyDescent="0.3">
      <c r="A11" s="27">
        <v>9</v>
      </c>
      <c r="B11" s="214" t="s">
        <v>98</v>
      </c>
      <c r="C11" s="214"/>
      <c r="D11" s="214"/>
      <c r="E11" s="214"/>
      <c r="F11" s="214"/>
      <c r="G11" s="214"/>
      <c r="H11" s="214"/>
      <c r="I11" s="105">
        <f>SUM(I2:I10)</f>
        <v>868665.60000000009</v>
      </c>
      <c r="J11" s="2"/>
      <c r="K11" s="2"/>
      <c r="L11" s="2"/>
    </row>
    <row r="12" spans="1:12" x14ac:dyDescent="0.3">
      <c r="A12" s="27">
        <v>10</v>
      </c>
      <c r="B12" s="214" t="s">
        <v>99</v>
      </c>
      <c r="C12" s="214"/>
      <c r="D12" s="214"/>
      <c r="E12" s="214"/>
      <c r="F12" s="214"/>
      <c r="G12" s="214"/>
      <c r="H12" s="214"/>
      <c r="I12" s="105">
        <f>I11*18%</f>
        <v>156359.80800000002</v>
      </c>
      <c r="J12" s="2"/>
      <c r="K12" s="2"/>
      <c r="L12" s="2"/>
    </row>
    <row r="13" spans="1:12" ht="14.4" thickBot="1" x14ac:dyDescent="0.35">
      <c r="A13" s="27">
        <v>11</v>
      </c>
      <c r="B13" s="214" t="s">
        <v>9</v>
      </c>
      <c r="C13" s="214"/>
      <c r="D13" s="214"/>
      <c r="E13" s="214"/>
      <c r="F13" s="214"/>
      <c r="G13" s="214"/>
      <c r="H13" s="214"/>
      <c r="I13" s="105">
        <f>I11+I12</f>
        <v>1025025.4080000001</v>
      </c>
      <c r="J13" s="2"/>
      <c r="K13" s="2"/>
      <c r="L13" s="2"/>
    </row>
    <row r="14" spans="1:12" x14ac:dyDescent="0.3">
      <c r="A14" s="10"/>
      <c r="B14" s="246"/>
      <c r="C14" s="246"/>
      <c r="D14" s="246"/>
      <c r="E14" s="246"/>
      <c r="F14" s="246"/>
      <c r="G14" s="246"/>
      <c r="H14" s="246"/>
      <c r="I14" s="247"/>
      <c r="J14" s="11"/>
      <c r="K14" s="2"/>
      <c r="L14" s="2"/>
    </row>
    <row r="15" spans="1:12" s="6" customFormat="1" x14ac:dyDescent="0.3">
      <c r="A15" s="218" t="s">
        <v>12</v>
      </c>
      <c r="B15" s="219"/>
      <c r="C15" s="219"/>
      <c r="D15" s="219"/>
      <c r="E15" s="219"/>
      <c r="F15" s="219"/>
      <c r="G15" s="219"/>
      <c r="H15" s="219"/>
      <c r="I15" s="220"/>
      <c r="J15" s="16"/>
      <c r="K15" s="2"/>
    </row>
    <row r="16" spans="1:12" s="6" customFormat="1" ht="124.2" x14ac:dyDescent="0.3">
      <c r="A16" s="111" t="s">
        <v>13</v>
      </c>
      <c r="B16" s="209" t="s">
        <v>187</v>
      </c>
      <c r="C16" s="209"/>
      <c r="D16" s="209"/>
      <c r="E16" s="209"/>
      <c r="F16" s="209"/>
      <c r="G16" s="209"/>
      <c r="H16" s="209"/>
      <c r="I16" s="210"/>
      <c r="J16" s="12"/>
      <c r="K16" s="2"/>
      <c r="L16" s="6">
        <f>2367*77*1.27</f>
        <v>231468.93</v>
      </c>
    </row>
  </sheetData>
  <mergeCells count="7">
    <mergeCell ref="B16:I16"/>
    <mergeCell ref="A1:E1"/>
    <mergeCell ref="B11:H11"/>
    <mergeCell ref="B12:H12"/>
    <mergeCell ref="B13:H13"/>
    <mergeCell ref="B14:I14"/>
    <mergeCell ref="A15:I15"/>
  </mergeCells>
  <hyperlinks>
    <hyperlink ref="B15" r:id="rId1" display="CST@2%" xr:uid="{00000000-0004-0000-14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9"/>
  <sheetViews>
    <sheetView workbookViewId="0">
      <selection activeCell="J7" sqref="J7"/>
    </sheetView>
  </sheetViews>
  <sheetFormatPr defaultColWidth="9.109375" defaultRowHeight="13.8" x14ac:dyDescent="0.3"/>
  <cols>
    <col min="1" max="1" width="6.109375" style="13" customWidth="1"/>
    <col min="2" max="2" width="12.5546875" style="6" customWidth="1"/>
    <col min="3" max="3" width="35.88671875" style="6" customWidth="1"/>
    <col min="4" max="4" width="5.88671875" style="14" bestFit="1" customWidth="1"/>
    <col min="5" max="5" width="5.33203125" style="14" customWidth="1"/>
    <col min="6" max="6" width="9" style="14" bestFit="1" customWidth="1"/>
    <col min="7" max="7" width="8.5546875" style="14" customWidth="1"/>
    <col min="8" max="8" width="13.33203125" style="14" customWidth="1"/>
    <col min="9" max="9" width="13.33203125" style="14" bestFit="1" customWidth="1"/>
    <col min="10" max="10" width="11" style="112" bestFit="1" customWidth="1"/>
    <col min="11" max="11" width="10.44140625" style="112" bestFit="1" customWidth="1"/>
    <col min="12" max="12" width="18.6640625" style="112" bestFit="1" customWidth="1"/>
    <col min="13" max="13" width="10.5546875" style="14" bestFit="1" customWidth="1"/>
    <col min="14" max="16384" width="9.109375" style="14"/>
  </cols>
  <sheetData>
    <row r="1" spans="1:12" s="13" customFormat="1" ht="13.5" customHeight="1" thickBot="1" x14ac:dyDescent="0.35">
      <c r="A1" s="243"/>
      <c r="B1" s="244"/>
      <c r="C1" s="244"/>
      <c r="D1" s="244"/>
      <c r="E1" s="245"/>
      <c r="F1" s="106"/>
      <c r="G1" s="107"/>
      <c r="H1" s="107"/>
      <c r="I1" s="108"/>
      <c r="J1" s="2"/>
      <c r="K1" s="3"/>
      <c r="L1" s="3"/>
    </row>
    <row r="2" spans="1:12" s="109" customFormat="1" x14ac:dyDescent="0.3">
      <c r="A2" s="22" t="s">
        <v>0</v>
      </c>
      <c r="B2" s="23" t="s">
        <v>185</v>
      </c>
      <c r="C2" s="22" t="s">
        <v>182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154</v>
      </c>
      <c r="J2" s="24" t="s">
        <v>61</v>
      </c>
      <c r="K2" s="24" t="s">
        <v>206</v>
      </c>
      <c r="L2" s="24" t="s">
        <v>153</v>
      </c>
    </row>
    <row r="3" spans="1:12" ht="60.6" customHeight="1" x14ac:dyDescent="0.3">
      <c r="A3" s="27">
        <v>1</v>
      </c>
      <c r="B3" s="27">
        <v>6000001199</v>
      </c>
      <c r="C3" s="28" t="s">
        <v>207</v>
      </c>
      <c r="D3" s="27" t="s">
        <v>166</v>
      </c>
      <c r="E3" s="27">
        <v>1</v>
      </c>
      <c r="F3" s="27">
        <v>8413</v>
      </c>
      <c r="G3" s="30">
        <v>0.18</v>
      </c>
      <c r="H3" s="31">
        <v>265000</v>
      </c>
      <c r="I3" s="32">
        <f t="shared" ref="I3" si="0">H3*E3</f>
        <v>265000</v>
      </c>
      <c r="J3" s="2"/>
      <c r="K3" s="110">
        <f>100*1900+30000</f>
        <v>220000</v>
      </c>
      <c r="L3" s="2"/>
    </row>
    <row r="4" spans="1:12" x14ac:dyDescent="0.3">
      <c r="A4" s="27">
        <v>2</v>
      </c>
      <c r="B4" s="214" t="s">
        <v>98</v>
      </c>
      <c r="C4" s="214"/>
      <c r="D4" s="214"/>
      <c r="E4" s="214"/>
      <c r="F4" s="214"/>
      <c r="G4" s="214"/>
      <c r="H4" s="214"/>
      <c r="I4" s="105">
        <f>SUM(I2:I3)</f>
        <v>265000</v>
      </c>
      <c r="J4" s="2"/>
      <c r="K4" s="2"/>
      <c r="L4" s="2"/>
    </row>
    <row r="5" spans="1:12" x14ac:dyDescent="0.3">
      <c r="A5" s="27">
        <v>3</v>
      </c>
      <c r="B5" s="214" t="s">
        <v>99</v>
      </c>
      <c r="C5" s="214"/>
      <c r="D5" s="214"/>
      <c r="E5" s="214"/>
      <c r="F5" s="214"/>
      <c r="G5" s="214"/>
      <c r="H5" s="214"/>
      <c r="I5" s="105">
        <f>I4*18%</f>
        <v>47700</v>
      </c>
      <c r="J5" s="2"/>
      <c r="K5" s="2"/>
      <c r="L5" s="2"/>
    </row>
    <row r="6" spans="1:12" ht="14.4" thickBot="1" x14ac:dyDescent="0.35">
      <c r="A6" s="27">
        <v>4</v>
      </c>
      <c r="B6" s="214" t="s">
        <v>9</v>
      </c>
      <c r="C6" s="214"/>
      <c r="D6" s="214"/>
      <c r="E6" s="214"/>
      <c r="F6" s="214"/>
      <c r="G6" s="214"/>
      <c r="H6" s="214"/>
      <c r="I6" s="105">
        <f>I4+I5</f>
        <v>312700</v>
      </c>
      <c r="J6" s="2"/>
      <c r="K6" s="2"/>
      <c r="L6" s="2"/>
    </row>
    <row r="7" spans="1:12" x14ac:dyDescent="0.3">
      <c r="A7" s="10" t="s">
        <v>128</v>
      </c>
      <c r="B7" s="246" t="s">
        <v>209</v>
      </c>
      <c r="C7" s="246"/>
      <c r="D7" s="246"/>
      <c r="E7" s="246"/>
      <c r="F7" s="246"/>
      <c r="G7" s="246"/>
      <c r="H7" s="246"/>
      <c r="I7" s="247"/>
      <c r="J7" s="11"/>
      <c r="K7" s="2"/>
      <c r="L7" s="2"/>
    </row>
    <row r="8" spans="1:12" s="6" customFormat="1" x14ac:dyDescent="0.3">
      <c r="A8" s="218" t="s">
        <v>12</v>
      </c>
      <c r="B8" s="219"/>
      <c r="C8" s="219"/>
      <c r="D8" s="219"/>
      <c r="E8" s="219"/>
      <c r="F8" s="219"/>
      <c r="G8" s="219"/>
      <c r="H8" s="219"/>
      <c r="I8" s="220"/>
      <c r="J8" s="16"/>
      <c r="K8" s="2"/>
    </row>
    <row r="9" spans="1:12" s="6" customFormat="1" ht="124.2" x14ac:dyDescent="0.3">
      <c r="A9" s="111" t="s">
        <v>13</v>
      </c>
      <c r="B9" s="209" t="s">
        <v>208</v>
      </c>
      <c r="C9" s="209"/>
      <c r="D9" s="209"/>
      <c r="E9" s="209"/>
      <c r="F9" s="209"/>
      <c r="G9" s="209"/>
      <c r="H9" s="209"/>
      <c r="I9" s="210"/>
      <c r="J9" s="12"/>
      <c r="K9" s="2"/>
      <c r="L9" s="6">
        <f>2367*77*1.27</f>
        <v>231468.93</v>
      </c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15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9"/>
  <sheetViews>
    <sheetView workbookViewId="0">
      <selection activeCell="B9" sqref="B9:I9"/>
    </sheetView>
  </sheetViews>
  <sheetFormatPr defaultColWidth="9.109375" defaultRowHeight="13.8" x14ac:dyDescent="0.3"/>
  <cols>
    <col min="1" max="1" width="6.109375" style="13" customWidth="1"/>
    <col min="2" max="2" width="12.5546875" style="6" customWidth="1"/>
    <col min="3" max="3" width="35.88671875" style="6" customWidth="1"/>
    <col min="4" max="4" width="5.88671875" style="14" bestFit="1" customWidth="1"/>
    <col min="5" max="5" width="5.33203125" style="14" customWidth="1"/>
    <col min="6" max="6" width="9" style="14" bestFit="1" customWidth="1"/>
    <col min="7" max="7" width="8.5546875" style="14" customWidth="1"/>
    <col min="8" max="8" width="13.33203125" style="14" customWidth="1"/>
    <col min="9" max="9" width="13.33203125" style="14" bestFit="1" customWidth="1"/>
    <col min="10" max="10" width="11" style="112" bestFit="1" customWidth="1"/>
    <col min="11" max="11" width="10.44140625" style="112" bestFit="1" customWidth="1"/>
    <col min="12" max="12" width="18.6640625" style="112" bestFit="1" customWidth="1"/>
    <col min="13" max="13" width="10.5546875" style="14" bestFit="1" customWidth="1"/>
    <col min="14" max="16384" width="9.109375" style="14"/>
  </cols>
  <sheetData>
    <row r="1" spans="1:11" s="13" customFormat="1" ht="13.5" customHeight="1" thickBot="1" x14ac:dyDescent="0.35">
      <c r="A1" s="243"/>
      <c r="B1" s="244"/>
      <c r="C1" s="244"/>
      <c r="D1" s="244"/>
      <c r="E1" s="245"/>
      <c r="F1" s="106"/>
      <c r="G1" s="107"/>
      <c r="H1" s="107"/>
      <c r="I1" s="108"/>
      <c r="J1" s="2"/>
      <c r="K1" s="3"/>
    </row>
    <row r="2" spans="1:11" s="109" customFormat="1" x14ac:dyDescent="0.3">
      <c r="A2" s="22" t="s">
        <v>0</v>
      </c>
      <c r="B2" s="23" t="s">
        <v>185</v>
      </c>
      <c r="C2" s="22" t="s">
        <v>182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154</v>
      </c>
      <c r="J2" s="24" t="s">
        <v>61</v>
      </c>
      <c r="K2" s="24" t="s">
        <v>153</v>
      </c>
    </row>
    <row r="3" spans="1:11" ht="110.4" x14ac:dyDescent="0.3">
      <c r="A3" s="27">
        <v>1</v>
      </c>
      <c r="B3" s="27" t="s">
        <v>212</v>
      </c>
      <c r="C3" s="28" t="s">
        <v>210</v>
      </c>
      <c r="D3" s="27" t="s">
        <v>166</v>
      </c>
      <c r="E3" s="27">
        <v>1</v>
      </c>
      <c r="F3" s="27">
        <v>8517</v>
      </c>
      <c r="G3" s="30">
        <v>0.18</v>
      </c>
      <c r="H3" s="31">
        <f>J3*80*1.3</f>
        <v>676000</v>
      </c>
      <c r="I3" s="32">
        <f t="shared" ref="I3" si="0">H3*E3</f>
        <v>676000</v>
      </c>
      <c r="J3" s="2">
        <v>6500</v>
      </c>
      <c r="K3" s="110">
        <v>6250</v>
      </c>
    </row>
    <row r="4" spans="1:11" x14ac:dyDescent="0.3">
      <c r="A4" s="27">
        <v>2</v>
      </c>
      <c r="B4" s="214" t="s">
        <v>98</v>
      </c>
      <c r="C4" s="214"/>
      <c r="D4" s="214"/>
      <c r="E4" s="214"/>
      <c r="F4" s="214"/>
      <c r="G4" s="214"/>
      <c r="H4" s="214"/>
      <c r="I4" s="105">
        <f>SUM(I2:I3)</f>
        <v>676000</v>
      </c>
      <c r="J4" s="2"/>
      <c r="K4" s="2"/>
    </row>
    <row r="5" spans="1:11" x14ac:dyDescent="0.3">
      <c r="A5" s="27">
        <v>3</v>
      </c>
      <c r="B5" s="214" t="s">
        <v>99</v>
      </c>
      <c r="C5" s="214"/>
      <c r="D5" s="214"/>
      <c r="E5" s="214"/>
      <c r="F5" s="214"/>
      <c r="G5" s="214"/>
      <c r="H5" s="214"/>
      <c r="I5" s="105">
        <f>I4*18%</f>
        <v>121680</v>
      </c>
      <c r="J5" s="2"/>
      <c r="K5" s="2"/>
    </row>
    <row r="6" spans="1:11" ht="14.4" thickBot="1" x14ac:dyDescent="0.35">
      <c r="A6" s="27">
        <v>4</v>
      </c>
      <c r="B6" s="214" t="s">
        <v>9</v>
      </c>
      <c r="C6" s="214"/>
      <c r="D6" s="214"/>
      <c r="E6" s="214"/>
      <c r="F6" s="214"/>
      <c r="G6" s="214"/>
      <c r="H6" s="214"/>
      <c r="I6" s="105">
        <f>I4+I5</f>
        <v>797680</v>
      </c>
      <c r="J6" s="2"/>
      <c r="K6" s="2"/>
    </row>
    <row r="7" spans="1:11" x14ac:dyDescent="0.3">
      <c r="A7" s="10"/>
      <c r="B7" s="246"/>
      <c r="C7" s="246"/>
      <c r="D7" s="246"/>
      <c r="E7" s="246"/>
      <c r="F7" s="246"/>
      <c r="G7" s="246"/>
      <c r="H7" s="246"/>
      <c r="I7" s="247"/>
      <c r="J7" s="11"/>
      <c r="K7" s="2"/>
    </row>
    <row r="8" spans="1:11" s="6" customFormat="1" x14ac:dyDescent="0.3">
      <c r="A8" s="218" t="s">
        <v>12</v>
      </c>
      <c r="B8" s="219"/>
      <c r="C8" s="219"/>
      <c r="D8" s="219"/>
      <c r="E8" s="219"/>
      <c r="F8" s="219"/>
      <c r="G8" s="219"/>
      <c r="H8" s="219"/>
      <c r="I8" s="220"/>
      <c r="J8" s="16"/>
      <c r="K8" s="2"/>
    </row>
    <row r="9" spans="1:11" s="6" customFormat="1" ht="124.2" x14ac:dyDescent="0.3">
      <c r="A9" s="111" t="s">
        <v>13</v>
      </c>
      <c r="B9" s="209" t="s">
        <v>211</v>
      </c>
      <c r="C9" s="209"/>
      <c r="D9" s="209"/>
      <c r="E9" s="209"/>
      <c r="F9" s="209"/>
      <c r="G9" s="209"/>
      <c r="H9" s="209"/>
      <c r="I9" s="210"/>
      <c r="J9" s="12"/>
      <c r="K9" s="2"/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16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2"/>
  <sheetViews>
    <sheetView workbookViewId="0">
      <selection activeCell="J12" sqref="J12"/>
    </sheetView>
  </sheetViews>
  <sheetFormatPr defaultColWidth="9.109375" defaultRowHeight="13.8" x14ac:dyDescent="0.3"/>
  <cols>
    <col min="1" max="1" width="6.109375" style="13" customWidth="1"/>
    <col min="2" max="2" width="12.5546875" style="6" customWidth="1"/>
    <col min="3" max="3" width="37.44140625" style="6" customWidth="1"/>
    <col min="4" max="4" width="5.88671875" style="14" bestFit="1" customWidth="1"/>
    <col min="5" max="5" width="5.33203125" style="14" customWidth="1"/>
    <col min="6" max="6" width="9" style="14" bestFit="1" customWidth="1"/>
    <col min="7" max="7" width="8.5546875" style="14" customWidth="1"/>
    <col min="8" max="8" width="13.33203125" style="14" customWidth="1"/>
    <col min="9" max="9" width="13.33203125" style="14" bestFit="1" customWidth="1"/>
    <col min="10" max="10" width="11" style="112" bestFit="1" customWidth="1"/>
    <col min="11" max="11" width="10.44140625" style="112" bestFit="1" customWidth="1"/>
    <col min="12" max="12" width="18.6640625" style="112" bestFit="1" customWidth="1"/>
    <col min="13" max="13" width="10.5546875" style="14" bestFit="1" customWidth="1"/>
    <col min="14" max="16384" width="9.109375" style="14"/>
  </cols>
  <sheetData>
    <row r="1" spans="1:11" s="13" customFormat="1" ht="13.5" customHeight="1" thickBot="1" x14ac:dyDescent="0.35">
      <c r="A1" s="243"/>
      <c r="B1" s="244"/>
      <c r="C1" s="244"/>
      <c r="D1" s="244"/>
      <c r="E1" s="245"/>
      <c r="F1" s="106"/>
      <c r="G1" s="107"/>
      <c r="H1" s="107"/>
      <c r="I1" s="108"/>
      <c r="J1" s="2"/>
      <c r="K1" s="3"/>
    </row>
    <row r="2" spans="1:11" s="109" customFormat="1" x14ac:dyDescent="0.3">
      <c r="A2" s="22" t="s">
        <v>0</v>
      </c>
      <c r="B2" s="23" t="s">
        <v>213</v>
      </c>
      <c r="C2" s="22" t="s">
        <v>182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154</v>
      </c>
      <c r="J2" s="24" t="s">
        <v>61</v>
      </c>
      <c r="K2" s="24" t="s">
        <v>153</v>
      </c>
    </row>
    <row r="3" spans="1:11" ht="27.6" x14ac:dyDescent="0.3">
      <c r="A3" s="27">
        <v>1</v>
      </c>
      <c r="B3" s="248" t="s">
        <v>214</v>
      </c>
      <c r="C3" s="28" t="s">
        <v>215</v>
      </c>
      <c r="D3" s="27" t="s">
        <v>166</v>
      </c>
      <c r="E3" s="27">
        <v>1</v>
      </c>
      <c r="F3" s="27">
        <v>8406</v>
      </c>
      <c r="G3" s="30">
        <v>0.18</v>
      </c>
      <c r="H3" s="31">
        <f>J3*82*1.35</f>
        <v>60885.000000000007</v>
      </c>
      <c r="I3" s="32">
        <f t="shared" ref="I3:I5" si="0">H3*E3</f>
        <v>60885.000000000007</v>
      </c>
      <c r="J3" s="2">
        <v>550</v>
      </c>
      <c r="K3" s="110">
        <v>405</v>
      </c>
    </row>
    <row r="4" spans="1:11" ht="27.6" x14ac:dyDescent="0.3">
      <c r="A4" s="27">
        <v>2</v>
      </c>
      <c r="B4" s="249"/>
      <c r="C4" s="28" t="s">
        <v>216</v>
      </c>
      <c r="D4" s="27" t="s">
        <v>166</v>
      </c>
      <c r="E4" s="27">
        <v>1</v>
      </c>
      <c r="F4" s="27">
        <v>8406</v>
      </c>
      <c r="G4" s="30">
        <v>0.18</v>
      </c>
      <c r="H4" s="31">
        <f t="shared" ref="H4:H6" si="1">J4*82*1.35</f>
        <v>49815</v>
      </c>
      <c r="I4" s="32">
        <f t="shared" si="0"/>
        <v>49815</v>
      </c>
      <c r="J4" s="2">
        <v>450</v>
      </c>
      <c r="K4" s="110">
        <v>360</v>
      </c>
    </row>
    <row r="5" spans="1:11" x14ac:dyDescent="0.3">
      <c r="A5" s="27">
        <v>3</v>
      </c>
      <c r="B5" s="249"/>
      <c r="C5" s="28" t="s">
        <v>217</v>
      </c>
      <c r="D5" s="27" t="s">
        <v>166</v>
      </c>
      <c r="E5" s="27">
        <v>1</v>
      </c>
      <c r="F5" s="27">
        <v>8406</v>
      </c>
      <c r="G5" s="30">
        <v>0.18</v>
      </c>
      <c r="H5" s="31">
        <f t="shared" si="1"/>
        <v>55350.000000000007</v>
      </c>
      <c r="I5" s="32">
        <f t="shared" si="0"/>
        <v>55350.000000000007</v>
      </c>
      <c r="J5" s="2">
        <v>500</v>
      </c>
      <c r="K5" s="110">
        <v>400</v>
      </c>
    </row>
    <row r="6" spans="1:11" x14ac:dyDescent="0.3">
      <c r="A6" s="27">
        <v>4</v>
      </c>
      <c r="B6" s="250"/>
      <c r="C6" s="28" t="s">
        <v>218</v>
      </c>
      <c r="D6" s="27" t="s">
        <v>166</v>
      </c>
      <c r="E6" s="27">
        <v>1</v>
      </c>
      <c r="F6" s="27">
        <v>8406</v>
      </c>
      <c r="G6" s="30">
        <v>0.18</v>
      </c>
      <c r="H6" s="31">
        <f t="shared" si="1"/>
        <v>47601</v>
      </c>
      <c r="I6" s="32">
        <f t="shared" ref="I6" si="2">H6*E6</f>
        <v>47601</v>
      </c>
      <c r="J6" s="2">
        <v>430</v>
      </c>
      <c r="K6" s="110">
        <v>370</v>
      </c>
    </row>
    <row r="7" spans="1:11" x14ac:dyDescent="0.3">
      <c r="A7" s="27">
        <v>5</v>
      </c>
      <c r="B7" s="214" t="s">
        <v>98</v>
      </c>
      <c r="C7" s="214"/>
      <c r="D7" s="214"/>
      <c r="E7" s="214"/>
      <c r="F7" s="214"/>
      <c r="G7" s="214"/>
      <c r="H7" s="214"/>
      <c r="I7" s="105">
        <f>SUM(I2:I6)</f>
        <v>213651</v>
      </c>
      <c r="J7" s="2"/>
      <c r="K7" s="2"/>
    </row>
    <row r="8" spans="1:11" x14ac:dyDescent="0.3">
      <c r="A8" s="27">
        <v>6</v>
      </c>
      <c r="B8" s="214" t="s">
        <v>99</v>
      </c>
      <c r="C8" s="214"/>
      <c r="D8" s="214"/>
      <c r="E8" s="214"/>
      <c r="F8" s="214"/>
      <c r="G8" s="214"/>
      <c r="H8" s="214"/>
      <c r="I8" s="105">
        <f>I7*18%</f>
        <v>38457.18</v>
      </c>
      <c r="J8" s="2"/>
      <c r="K8" s="2"/>
    </row>
    <row r="9" spans="1:11" ht="14.4" thickBot="1" x14ac:dyDescent="0.35">
      <c r="A9" s="27">
        <v>7</v>
      </c>
      <c r="B9" s="214" t="s">
        <v>9</v>
      </c>
      <c r="C9" s="214"/>
      <c r="D9" s="214"/>
      <c r="E9" s="214"/>
      <c r="F9" s="214"/>
      <c r="G9" s="214"/>
      <c r="H9" s="214"/>
      <c r="I9" s="105">
        <f>I7+I8</f>
        <v>252108.18</v>
      </c>
      <c r="J9" s="2"/>
      <c r="K9" s="2"/>
    </row>
    <row r="10" spans="1:11" x14ac:dyDescent="0.3">
      <c r="A10" s="10"/>
      <c r="B10" s="246"/>
      <c r="C10" s="246"/>
      <c r="D10" s="246"/>
      <c r="E10" s="246"/>
      <c r="F10" s="246"/>
      <c r="G10" s="246"/>
      <c r="H10" s="246"/>
      <c r="I10" s="247"/>
      <c r="J10" s="11"/>
      <c r="K10" s="2"/>
    </row>
    <row r="11" spans="1:11" s="6" customFormat="1" x14ac:dyDescent="0.3">
      <c r="A11" s="218" t="s">
        <v>12</v>
      </c>
      <c r="B11" s="219"/>
      <c r="C11" s="219"/>
      <c r="D11" s="219"/>
      <c r="E11" s="219"/>
      <c r="F11" s="219"/>
      <c r="G11" s="219"/>
      <c r="H11" s="219"/>
      <c r="I11" s="220"/>
      <c r="J11" s="16"/>
      <c r="K11" s="2"/>
    </row>
    <row r="12" spans="1:11" s="6" customFormat="1" ht="124.2" x14ac:dyDescent="0.3">
      <c r="A12" s="111" t="s">
        <v>13</v>
      </c>
      <c r="B12" s="209" t="s">
        <v>219</v>
      </c>
      <c r="C12" s="209"/>
      <c r="D12" s="209"/>
      <c r="E12" s="209"/>
      <c r="F12" s="209"/>
      <c r="G12" s="209"/>
      <c r="H12" s="209"/>
      <c r="I12" s="210"/>
      <c r="J12" s="12"/>
      <c r="K12" s="2"/>
    </row>
  </sheetData>
  <mergeCells count="8">
    <mergeCell ref="B12:I12"/>
    <mergeCell ref="B3:B6"/>
    <mergeCell ref="A1:E1"/>
    <mergeCell ref="B7:H7"/>
    <mergeCell ref="B8:H8"/>
    <mergeCell ref="B9:H9"/>
    <mergeCell ref="B10:I10"/>
    <mergeCell ref="A11:I11"/>
  </mergeCells>
  <hyperlinks>
    <hyperlink ref="B11" r:id="rId1" display="CST@2%" xr:uid="{00000000-0004-0000-17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10"/>
  <sheetViews>
    <sheetView workbookViewId="0">
      <selection activeCell="K10" sqref="K10"/>
    </sheetView>
  </sheetViews>
  <sheetFormatPr defaultColWidth="9.109375" defaultRowHeight="13.8" x14ac:dyDescent="0.3"/>
  <cols>
    <col min="1" max="1" width="6.109375" style="87" customWidth="1"/>
    <col min="2" max="2" width="9.88671875" style="95" bestFit="1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156</v>
      </c>
      <c r="L2" s="80" t="s">
        <v>97</v>
      </c>
    </row>
    <row r="3" spans="1:12" ht="55.2" x14ac:dyDescent="0.3">
      <c r="A3" s="88">
        <v>1</v>
      </c>
      <c r="B3" s="89">
        <v>4000003917</v>
      </c>
      <c r="C3" s="90" t="s">
        <v>221</v>
      </c>
      <c r="D3" s="88" t="s">
        <v>220</v>
      </c>
      <c r="E3" s="88">
        <v>1</v>
      </c>
      <c r="F3" s="88">
        <v>8481</v>
      </c>
      <c r="G3" s="91">
        <v>0.18</v>
      </c>
      <c r="H3" s="92">
        <f>J3*80*1.32</f>
        <v>116160</v>
      </c>
      <c r="I3" s="93">
        <f>H3*E3</f>
        <v>116160</v>
      </c>
      <c r="J3" s="85">
        <f>K3/6</f>
        <v>1100</v>
      </c>
      <c r="K3" s="94">
        <v>6600</v>
      </c>
      <c r="L3" s="85"/>
    </row>
    <row r="4" spans="1:12" ht="82.8" x14ac:dyDescent="0.3">
      <c r="A4" s="88">
        <v>2</v>
      </c>
      <c r="B4" s="89">
        <v>4000003918</v>
      </c>
      <c r="C4" s="90" t="s">
        <v>222</v>
      </c>
      <c r="D4" s="88" t="s">
        <v>127</v>
      </c>
      <c r="E4" s="88">
        <v>2</v>
      </c>
      <c r="F4" s="88">
        <v>8481</v>
      </c>
      <c r="G4" s="91">
        <v>0.18</v>
      </c>
      <c r="H4" s="92">
        <f>J4*80*1.32</f>
        <v>14080.000000000002</v>
      </c>
      <c r="I4" s="93">
        <f>H4*E4</f>
        <v>28160.000000000004</v>
      </c>
      <c r="J4" s="85">
        <f>K4/6</f>
        <v>133.33333333333334</v>
      </c>
      <c r="K4" s="94">
        <v>800</v>
      </c>
      <c r="L4" s="85"/>
    </row>
    <row r="5" spans="1:12" x14ac:dyDescent="0.3">
      <c r="A5" s="88">
        <v>3</v>
      </c>
      <c r="B5" s="237" t="s">
        <v>98</v>
      </c>
      <c r="C5" s="237"/>
      <c r="D5" s="237"/>
      <c r="E5" s="237"/>
      <c r="F5" s="237"/>
      <c r="G5" s="237"/>
      <c r="H5" s="237"/>
      <c r="I5" s="97">
        <f>SUM(I3:I4)</f>
        <v>144320</v>
      </c>
      <c r="J5" s="85"/>
      <c r="K5" s="85"/>
      <c r="L5" s="85"/>
    </row>
    <row r="6" spans="1:12" x14ac:dyDescent="0.3">
      <c r="A6" s="88">
        <v>4</v>
      </c>
      <c r="B6" s="237" t="s">
        <v>99</v>
      </c>
      <c r="C6" s="237"/>
      <c r="D6" s="237"/>
      <c r="E6" s="237"/>
      <c r="F6" s="237"/>
      <c r="G6" s="237"/>
      <c r="H6" s="237"/>
      <c r="I6" s="97">
        <f>I5*18%</f>
        <v>25977.599999999999</v>
      </c>
      <c r="J6" s="85"/>
      <c r="K6" s="85"/>
      <c r="L6" s="85"/>
    </row>
    <row r="7" spans="1:12" ht="14.4" thickBot="1" x14ac:dyDescent="0.35">
      <c r="A7" s="88">
        <v>5</v>
      </c>
      <c r="B7" s="237" t="s">
        <v>9</v>
      </c>
      <c r="C7" s="237"/>
      <c r="D7" s="237"/>
      <c r="E7" s="237"/>
      <c r="F7" s="237"/>
      <c r="G7" s="237"/>
      <c r="H7" s="237"/>
      <c r="I7" s="97">
        <f>I5+I6</f>
        <v>170297.60000000001</v>
      </c>
      <c r="J7" s="85"/>
      <c r="K7" s="85"/>
      <c r="L7" s="85"/>
    </row>
    <row r="8" spans="1:12" x14ac:dyDescent="0.3">
      <c r="A8" s="98"/>
      <c r="B8" s="238"/>
      <c r="C8" s="238"/>
      <c r="D8" s="238"/>
      <c r="E8" s="238"/>
      <c r="F8" s="238"/>
      <c r="G8" s="238"/>
      <c r="H8" s="238"/>
      <c r="I8" s="239"/>
      <c r="J8" s="99"/>
      <c r="K8" s="85"/>
      <c r="L8" s="85"/>
    </row>
    <row r="9" spans="1:12" s="95" customFormat="1" x14ac:dyDescent="0.3">
      <c r="A9" s="240" t="s">
        <v>12</v>
      </c>
      <c r="B9" s="241"/>
      <c r="C9" s="241"/>
      <c r="D9" s="241"/>
      <c r="E9" s="241"/>
      <c r="F9" s="241"/>
      <c r="G9" s="241"/>
      <c r="H9" s="241"/>
      <c r="I9" s="242"/>
      <c r="J9" s="100"/>
      <c r="K9" s="85"/>
    </row>
    <row r="10" spans="1:12" s="95" customFormat="1" ht="124.2" x14ac:dyDescent="0.3">
      <c r="A10" s="101" t="s">
        <v>13</v>
      </c>
      <c r="B10" s="232" t="s">
        <v>223</v>
      </c>
      <c r="C10" s="232"/>
      <c r="D10" s="232"/>
      <c r="E10" s="232"/>
      <c r="F10" s="232"/>
      <c r="G10" s="232"/>
      <c r="H10" s="232"/>
      <c r="I10" s="233"/>
      <c r="J10" s="102"/>
      <c r="K10" s="85"/>
    </row>
  </sheetData>
  <mergeCells count="7">
    <mergeCell ref="B10:I10"/>
    <mergeCell ref="A1:E1"/>
    <mergeCell ref="B5:H5"/>
    <mergeCell ref="B6:H6"/>
    <mergeCell ref="B7:H7"/>
    <mergeCell ref="B8:I8"/>
    <mergeCell ref="A9:I9"/>
  </mergeCells>
  <hyperlinks>
    <hyperlink ref="B9" r:id="rId1" display="CST@2%" xr:uid="{00000000-0004-0000-18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9"/>
  <sheetViews>
    <sheetView workbookViewId="0">
      <selection activeCell="E2" sqref="E2"/>
    </sheetView>
  </sheetViews>
  <sheetFormatPr defaultColWidth="9.109375" defaultRowHeight="13.8" x14ac:dyDescent="0.3"/>
  <cols>
    <col min="1" max="1" width="6.109375" style="87" customWidth="1"/>
    <col min="2" max="2" width="9.88671875" style="95" bestFit="1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60</v>
      </c>
      <c r="L2" s="80" t="s">
        <v>97</v>
      </c>
    </row>
    <row r="3" spans="1:12" ht="41.4" x14ac:dyDescent="0.3">
      <c r="A3" s="88">
        <v>1</v>
      </c>
      <c r="B3" s="89">
        <v>4000002657</v>
      </c>
      <c r="C3" s="90" t="s">
        <v>224</v>
      </c>
      <c r="D3" s="88" t="s">
        <v>220</v>
      </c>
      <c r="E3" s="88">
        <v>1</v>
      </c>
      <c r="F3" s="88">
        <v>8413</v>
      </c>
      <c r="G3" s="91">
        <v>0.18</v>
      </c>
      <c r="H3" s="92">
        <f>J3*84*1.32</f>
        <v>144144</v>
      </c>
      <c r="I3" s="93">
        <f>H3*E3</f>
        <v>144144</v>
      </c>
      <c r="J3" s="85">
        <v>1300</v>
      </c>
      <c r="K3" s="94">
        <v>1230</v>
      </c>
      <c r="L3" s="85"/>
    </row>
    <row r="4" spans="1:12" x14ac:dyDescent="0.3">
      <c r="A4" s="88">
        <v>3</v>
      </c>
      <c r="B4" s="237" t="s">
        <v>98</v>
      </c>
      <c r="C4" s="237"/>
      <c r="D4" s="237"/>
      <c r="E4" s="237"/>
      <c r="F4" s="237"/>
      <c r="G4" s="237"/>
      <c r="H4" s="237"/>
      <c r="I4" s="97">
        <f>SUM(I3:I3)</f>
        <v>144144</v>
      </c>
      <c r="J4" s="85"/>
      <c r="K4" s="85"/>
      <c r="L4" s="85"/>
    </row>
    <row r="5" spans="1:12" x14ac:dyDescent="0.3">
      <c r="A5" s="88">
        <v>4</v>
      </c>
      <c r="B5" s="237" t="s">
        <v>99</v>
      </c>
      <c r="C5" s="237"/>
      <c r="D5" s="237"/>
      <c r="E5" s="237"/>
      <c r="F5" s="237"/>
      <c r="G5" s="237"/>
      <c r="H5" s="237"/>
      <c r="I5" s="97">
        <f>I4*18%</f>
        <v>25945.919999999998</v>
      </c>
      <c r="J5" s="85"/>
      <c r="K5" s="85"/>
      <c r="L5" s="85"/>
    </row>
    <row r="6" spans="1:12" ht="14.4" thickBot="1" x14ac:dyDescent="0.35">
      <c r="A6" s="88">
        <v>5</v>
      </c>
      <c r="B6" s="237" t="s">
        <v>9</v>
      </c>
      <c r="C6" s="237"/>
      <c r="D6" s="237"/>
      <c r="E6" s="237"/>
      <c r="F6" s="237"/>
      <c r="G6" s="237"/>
      <c r="H6" s="237"/>
      <c r="I6" s="97">
        <f>I4+I5</f>
        <v>170089.91999999998</v>
      </c>
      <c r="J6" s="85"/>
      <c r="K6" s="85"/>
      <c r="L6" s="85"/>
    </row>
    <row r="7" spans="1:12" x14ac:dyDescent="0.3">
      <c r="A7" s="98"/>
      <c r="B7" s="238"/>
      <c r="C7" s="238"/>
      <c r="D7" s="238"/>
      <c r="E7" s="238"/>
      <c r="F7" s="238"/>
      <c r="G7" s="238"/>
      <c r="H7" s="238"/>
      <c r="I7" s="239"/>
      <c r="J7" s="99"/>
      <c r="K7" s="85"/>
      <c r="L7" s="85"/>
    </row>
    <row r="8" spans="1:12" s="95" customFormat="1" x14ac:dyDescent="0.3">
      <c r="A8" s="240" t="s">
        <v>12</v>
      </c>
      <c r="B8" s="241"/>
      <c r="C8" s="241"/>
      <c r="D8" s="241"/>
      <c r="E8" s="241"/>
      <c r="F8" s="241"/>
      <c r="G8" s="241"/>
      <c r="H8" s="241"/>
      <c r="I8" s="242"/>
      <c r="J8" s="100"/>
      <c r="K8" s="85"/>
    </row>
    <row r="9" spans="1:12" s="95" customFormat="1" ht="124.2" x14ac:dyDescent="0.3">
      <c r="A9" s="101" t="s">
        <v>13</v>
      </c>
      <c r="B9" s="232" t="s">
        <v>225</v>
      </c>
      <c r="C9" s="232"/>
      <c r="D9" s="232"/>
      <c r="E9" s="232"/>
      <c r="F9" s="232"/>
      <c r="G9" s="232"/>
      <c r="H9" s="232"/>
      <c r="I9" s="233"/>
      <c r="J9" s="102"/>
      <c r="K9" s="85"/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19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9"/>
  <sheetViews>
    <sheetView workbookViewId="0">
      <selection activeCell="B9" sqref="B9:I9"/>
    </sheetView>
  </sheetViews>
  <sheetFormatPr defaultColWidth="9.109375" defaultRowHeight="13.8" x14ac:dyDescent="0.3"/>
  <cols>
    <col min="1" max="1" width="6.109375" style="87" customWidth="1"/>
    <col min="2" max="2" width="9.88671875" style="95" bestFit="1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193</v>
      </c>
      <c r="L2" s="80" t="s">
        <v>97</v>
      </c>
    </row>
    <row r="3" spans="1:12" ht="27.6" x14ac:dyDescent="0.3">
      <c r="A3" s="88">
        <v>1</v>
      </c>
      <c r="B3" s="89">
        <v>7000003725</v>
      </c>
      <c r="C3" s="90" t="s">
        <v>226</v>
      </c>
      <c r="D3" s="88" t="s">
        <v>220</v>
      </c>
      <c r="E3" s="88">
        <v>6</v>
      </c>
      <c r="F3" s="88">
        <v>8481</v>
      </c>
      <c r="G3" s="91">
        <v>0.18</v>
      </c>
      <c r="H3" s="92">
        <f>J3*84*1.32</f>
        <v>13305.6</v>
      </c>
      <c r="I3" s="93">
        <f>H3*E3</f>
        <v>79833.600000000006</v>
      </c>
      <c r="J3" s="85">
        <v>120</v>
      </c>
      <c r="K3" s="94">
        <v>80</v>
      </c>
      <c r="L3" s="85"/>
    </row>
    <row r="4" spans="1:12" x14ac:dyDescent="0.3">
      <c r="A4" s="88">
        <v>2</v>
      </c>
      <c r="B4" s="237" t="s">
        <v>98</v>
      </c>
      <c r="C4" s="237"/>
      <c r="D4" s="237"/>
      <c r="E4" s="237"/>
      <c r="F4" s="237"/>
      <c r="G4" s="237"/>
      <c r="H4" s="237"/>
      <c r="I4" s="97">
        <f>SUM(I3:I3)</f>
        <v>79833.600000000006</v>
      </c>
      <c r="J4" s="85"/>
      <c r="K4" s="85"/>
      <c r="L4" s="85"/>
    </row>
    <row r="5" spans="1:12" x14ac:dyDescent="0.3">
      <c r="A5" s="88">
        <v>3</v>
      </c>
      <c r="B5" s="237" t="s">
        <v>99</v>
      </c>
      <c r="C5" s="237"/>
      <c r="D5" s="237"/>
      <c r="E5" s="237"/>
      <c r="F5" s="237"/>
      <c r="G5" s="237"/>
      <c r="H5" s="237"/>
      <c r="I5" s="97">
        <f>I4*18%</f>
        <v>14370.048000000001</v>
      </c>
      <c r="J5" s="85"/>
      <c r="K5" s="85"/>
      <c r="L5" s="85"/>
    </row>
    <row r="6" spans="1:12" ht="14.4" thickBot="1" x14ac:dyDescent="0.35">
      <c r="A6" s="88">
        <v>4</v>
      </c>
      <c r="B6" s="237" t="s">
        <v>9</v>
      </c>
      <c r="C6" s="237"/>
      <c r="D6" s="237"/>
      <c r="E6" s="237"/>
      <c r="F6" s="237"/>
      <c r="G6" s="237"/>
      <c r="H6" s="237"/>
      <c r="I6" s="97">
        <f>I4+I5</f>
        <v>94203.648000000001</v>
      </c>
      <c r="J6" s="85"/>
      <c r="K6" s="85"/>
      <c r="L6" s="85"/>
    </row>
    <row r="7" spans="1:12" x14ac:dyDescent="0.3">
      <c r="A7" s="98"/>
      <c r="B7" s="238"/>
      <c r="C7" s="238"/>
      <c r="D7" s="238"/>
      <c r="E7" s="238"/>
      <c r="F7" s="238"/>
      <c r="G7" s="238"/>
      <c r="H7" s="238"/>
      <c r="I7" s="239"/>
      <c r="J7" s="99"/>
      <c r="K7" s="85"/>
      <c r="L7" s="85"/>
    </row>
    <row r="8" spans="1:12" s="95" customFormat="1" x14ac:dyDescent="0.3">
      <c r="A8" s="240" t="s">
        <v>12</v>
      </c>
      <c r="B8" s="241"/>
      <c r="C8" s="241"/>
      <c r="D8" s="241"/>
      <c r="E8" s="241"/>
      <c r="F8" s="241"/>
      <c r="G8" s="241"/>
      <c r="H8" s="241"/>
      <c r="I8" s="242"/>
      <c r="J8" s="100"/>
      <c r="K8" s="85"/>
    </row>
    <row r="9" spans="1:12" s="95" customFormat="1" ht="124.2" x14ac:dyDescent="0.3">
      <c r="A9" s="101" t="s">
        <v>13</v>
      </c>
      <c r="B9" s="232" t="s">
        <v>225</v>
      </c>
      <c r="C9" s="232"/>
      <c r="D9" s="232"/>
      <c r="E9" s="232"/>
      <c r="F9" s="232"/>
      <c r="G9" s="232"/>
      <c r="H9" s="232"/>
      <c r="I9" s="233"/>
      <c r="J9" s="102"/>
      <c r="K9" s="85"/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1A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14"/>
  <sheetViews>
    <sheetView topLeftCell="A5" workbookViewId="0">
      <selection activeCell="A2" sqref="A2:J14"/>
    </sheetView>
  </sheetViews>
  <sheetFormatPr defaultColWidth="9.109375" defaultRowHeight="13.8" x14ac:dyDescent="0.3"/>
  <cols>
    <col min="1" max="1" width="6.109375" style="87" customWidth="1"/>
    <col min="2" max="2" width="9.88671875" style="95" bestFit="1" customWidth="1"/>
    <col min="3" max="3" width="35.8867187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9" width="13.33203125" style="96" customWidth="1"/>
    <col min="10" max="10" width="13.33203125" style="96" bestFit="1" customWidth="1"/>
    <col min="11" max="11" width="11" style="103" bestFit="1" customWidth="1"/>
    <col min="12" max="12" width="10.44140625" style="103" bestFit="1" customWidth="1"/>
    <col min="13" max="13" width="18.6640625" style="103" bestFit="1" customWidth="1"/>
    <col min="14" max="14" width="10.5546875" style="96" bestFit="1" customWidth="1"/>
    <col min="15" max="16384" width="9.109375" style="96"/>
  </cols>
  <sheetData>
    <row r="1" spans="1:13" s="87" customFormat="1" ht="13.5" customHeight="1" thickBot="1" x14ac:dyDescent="0.35">
      <c r="A1" s="234"/>
      <c r="B1" s="235"/>
      <c r="C1" s="235"/>
      <c r="D1" s="235"/>
      <c r="E1" s="236"/>
      <c r="F1" s="82"/>
      <c r="G1" s="83"/>
      <c r="H1" s="83"/>
      <c r="I1" s="83"/>
      <c r="J1" s="84"/>
      <c r="K1" s="85"/>
      <c r="L1" s="86"/>
      <c r="M1" s="86"/>
    </row>
    <row r="2" spans="1:13" s="81" customFormat="1" x14ac:dyDescent="0.3">
      <c r="A2" s="78" t="s">
        <v>0</v>
      </c>
      <c r="B2" s="79" t="s">
        <v>228</v>
      </c>
      <c r="C2" s="78" t="s">
        <v>1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243</v>
      </c>
      <c r="J2" s="78" t="s">
        <v>154</v>
      </c>
      <c r="K2" s="80" t="s">
        <v>61</v>
      </c>
      <c r="L2" s="80" t="s">
        <v>227</v>
      </c>
      <c r="M2" s="80" t="s">
        <v>97</v>
      </c>
    </row>
    <row r="3" spans="1:13" ht="27.6" x14ac:dyDescent="0.3">
      <c r="A3" s="88">
        <v>1</v>
      </c>
      <c r="B3" s="89" t="s">
        <v>229</v>
      </c>
      <c r="C3" s="90" t="s">
        <v>235</v>
      </c>
      <c r="D3" s="88" t="s">
        <v>220</v>
      </c>
      <c r="E3" s="88">
        <v>50</v>
      </c>
      <c r="F3" s="88">
        <v>8424</v>
      </c>
      <c r="G3" s="91">
        <v>0.18</v>
      </c>
      <c r="H3" s="92">
        <f>L3*1.15</f>
        <v>11757.599999999999</v>
      </c>
      <c r="I3" s="92">
        <f>H3*18%</f>
        <v>2116.3679999999995</v>
      </c>
      <c r="J3" s="93">
        <f>E3*(H3+I3)</f>
        <v>693698.39999999991</v>
      </c>
      <c r="K3" s="85"/>
      <c r="L3" s="94">
        <v>10224</v>
      </c>
      <c r="M3" s="85"/>
    </row>
    <row r="4" spans="1:13" ht="27.6" x14ac:dyDescent="0.3">
      <c r="A4" s="88">
        <v>2</v>
      </c>
      <c r="B4" s="89" t="s">
        <v>230</v>
      </c>
      <c r="C4" s="90" t="s">
        <v>236</v>
      </c>
      <c r="D4" s="88" t="s">
        <v>220</v>
      </c>
      <c r="E4" s="88">
        <v>80</v>
      </c>
      <c r="F4" s="88">
        <v>8424</v>
      </c>
      <c r="G4" s="91">
        <v>0.18</v>
      </c>
      <c r="H4" s="92">
        <f t="shared" ref="H4:H10" si="0">L4*1.15</f>
        <v>14314.05</v>
      </c>
      <c r="I4" s="92">
        <f t="shared" ref="I4:I10" si="1">H4*18%</f>
        <v>2576.529</v>
      </c>
      <c r="J4" s="93">
        <f t="shared" ref="J4:J10" si="2">E4*(H4+I4)</f>
        <v>1351246.3199999998</v>
      </c>
      <c r="K4" s="85"/>
      <c r="L4" s="94">
        <v>12447</v>
      </c>
      <c r="M4" s="85"/>
    </row>
    <row r="5" spans="1:13" x14ac:dyDescent="0.3">
      <c r="A5" s="88">
        <v>3</v>
      </c>
      <c r="B5" s="89" t="s">
        <v>231</v>
      </c>
      <c r="C5" s="90" t="s">
        <v>237</v>
      </c>
      <c r="D5" s="88" t="s">
        <v>220</v>
      </c>
      <c r="E5" s="88">
        <v>30</v>
      </c>
      <c r="F5" s="88">
        <v>8424</v>
      </c>
      <c r="G5" s="91">
        <v>0.18</v>
      </c>
      <c r="H5" s="92">
        <f t="shared" si="0"/>
        <v>12068.099999999999</v>
      </c>
      <c r="I5" s="92">
        <f t="shared" si="1"/>
        <v>2172.2579999999998</v>
      </c>
      <c r="J5" s="93">
        <f t="shared" si="2"/>
        <v>427210.73999999993</v>
      </c>
      <c r="K5" s="85"/>
      <c r="L5" s="94">
        <v>10494</v>
      </c>
      <c r="M5" s="85"/>
    </row>
    <row r="6" spans="1:13" x14ac:dyDescent="0.3">
      <c r="A6" s="88">
        <v>4</v>
      </c>
      <c r="B6" s="89" t="s">
        <v>232</v>
      </c>
      <c r="C6" s="90" t="s">
        <v>238</v>
      </c>
      <c r="D6" s="88" t="s">
        <v>220</v>
      </c>
      <c r="E6" s="88">
        <v>10</v>
      </c>
      <c r="F6" s="88">
        <v>8424</v>
      </c>
      <c r="G6" s="91">
        <v>0.18</v>
      </c>
      <c r="H6" s="92">
        <f t="shared" si="0"/>
        <v>15849.3</v>
      </c>
      <c r="I6" s="92">
        <f t="shared" si="1"/>
        <v>2852.8739999999998</v>
      </c>
      <c r="J6" s="93">
        <f t="shared" si="2"/>
        <v>187021.74</v>
      </c>
      <c r="K6" s="85"/>
      <c r="L6" s="94">
        <v>13782</v>
      </c>
      <c r="M6" s="85"/>
    </row>
    <row r="7" spans="1:13" x14ac:dyDescent="0.3">
      <c r="A7" s="88">
        <v>5</v>
      </c>
      <c r="B7" s="89" t="s">
        <v>233</v>
      </c>
      <c r="C7" s="90" t="s">
        <v>239</v>
      </c>
      <c r="D7" s="88" t="s">
        <v>220</v>
      </c>
      <c r="E7" s="88">
        <v>10</v>
      </c>
      <c r="F7" s="88">
        <v>8424</v>
      </c>
      <c r="G7" s="91">
        <v>0.18</v>
      </c>
      <c r="H7" s="92">
        <f t="shared" si="0"/>
        <v>14286.449999999999</v>
      </c>
      <c r="I7" s="92">
        <f t="shared" si="1"/>
        <v>2571.5609999999997</v>
      </c>
      <c r="J7" s="93">
        <f t="shared" si="2"/>
        <v>168580.11</v>
      </c>
      <c r="K7" s="85"/>
      <c r="L7" s="94">
        <v>12423</v>
      </c>
      <c r="M7" s="85"/>
    </row>
    <row r="8" spans="1:13" x14ac:dyDescent="0.3">
      <c r="A8" s="88">
        <v>6</v>
      </c>
      <c r="B8" s="89" t="s">
        <v>234</v>
      </c>
      <c r="C8" s="90" t="s">
        <v>240</v>
      </c>
      <c r="D8" s="88" t="s">
        <v>220</v>
      </c>
      <c r="E8" s="88">
        <v>1</v>
      </c>
      <c r="F8" s="88">
        <v>8424</v>
      </c>
      <c r="G8" s="91">
        <v>0.18</v>
      </c>
      <c r="H8" s="92">
        <f t="shared" si="0"/>
        <v>47153.45</v>
      </c>
      <c r="I8" s="92">
        <f t="shared" si="1"/>
        <v>8487.6209999999992</v>
      </c>
      <c r="J8" s="93">
        <f t="shared" si="2"/>
        <v>55641.070999999996</v>
      </c>
      <c r="K8" s="85"/>
      <c r="L8" s="94">
        <v>41003</v>
      </c>
      <c r="M8" s="85"/>
    </row>
    <row r="9" spans="1:13" x14ac:dyDescent="0.3">
      <c r="A9" s="88">
        <v>7</v>
      </c>
      <c r="B9" s="89"/>
      <c r="C9" s="90" t="s">
        <v>241</v>
      </c>
      <c r="D9" s="88" t="s">
        <v>220</v>
      </c>
      <c r="E9" s="88">
        <v>200</v>
      </c>
      <c r="F9" s="88">
        <v>8533</v>
      </c>
      <c r="G9" s="91">
        <v>0.18</v>
      </c>
      <c r="H9" s="92">
        <f t="shared" si="0"/>
        <v>3.4499999999999997</v>
      </c>
      <c r="I9" s="92">
        <f t="shared" si="1"/>
        <v>0.62099999999999989</v>
      </c>
      <c r="J9" s="93">
        <f t="shared" si="2"/>
        <v>814.19999999999993</v>
      </c>
      <c r="K9" s="85"/>
      <c r="L9" s="94">
        <v>3</v>
      </c>
      <c r="M9" s="85"/>
    </row>
    <row r="10" spans="1:13" x14ac:dyDescent="0.3">
      <c r="A10" s="88">
        <v>8</v>
      </c>
      <c r="B10" s="89"/>
      <c r="C10" s="90" t="s">
        <v>242</v>
      </c>
      <c r="D10" s="88" t="s">
        <v>220</v>
      </c>
      <c r="E10" s="88">
        <v>200</v>
      </c>
      <c r="F10" s="88">
        <v>8533</v>
      </c>
      <c r="G10" s="91">
        <v>0.18</v>
      </c>
      <c r="H10" s="92">
        <f t="shared" si="0"/>
        <v>3.4499999999999997</v>
      </c>
      <c r="I10" s="92">
        <f t="shared" si="1"/>
        <v>0.62099999999999989</v>
      </c>
      <c r="J10" s="93">
        <f t="shared" si="2"/>
        <v>814.19999999999993</v>
      </c>
      <c r="K10" s="85"/>
      <c r="L10" s="94">
        <v>3</v>
      </c>
      <c r="M10" s="85"/>
    </row>
    <row r="11" spans="1:13" ht="14.4" thickBot="1" x14ac:dyDescent="0.35">
      <c r="A11" s="88">
        <v>9</v>
      </c>
      <c r="B11" s="237" t="s">
        <v>9</v>
      </c>
      <c r="C11" s="237"/>
      <c r="D11" s="237"/>
      <c r="E11" s="237"/>
      <c r="F11" s="237"/>
      <c r="G11" s="237"/>
      <c r="H11" s="237"/>
      <c r="I11" s="237"/>
      <c r="J11" s="97">
        <f>SUM(J3:J10)</f>
        <v>2885026.7809999995</v>
      </c>
      <c r="K11" s="85"/>
      <c r="L11" s="85"/>
      <c r="M11" s="85"/>
    </row>
    <row r="12" spans="1:13" x14ac:dyDescent="0.3">
      <c r="A12" s="98"/>
      <c r="B12" s="238"/>
      <c r="C12" s="238"/>
      <c r="D12" s="238"/>
      <c r="E12" s="238"/>
      <c r="F12" s="238"/>
      <c r="G12" s="238"/>
      <c r="H12" s="238"/>
      <c r="I12" s="238"/>
      <c r="J12" s="239"/>
      <c r="K12" s="99"/>
      <c r="L12" s="85"/>
      <c r="M12" s="85"/>
    </row>
    <row r="13" spans="1:13" s="95" customFormat="1" x14ac:dyDescent="0.3">
      <c r="A13" s="240" t="s">
        <v>12</v>
      </c>
      <c r="B13" s="241"/>
      <c r="C13" s="241"/>
      <c r="D13" s="241"/>
      <c r="E13" s="241"/>
      <c r="F13" s="241"/>
      <c r="G13" s="241"/>
      <c r="H13" s="241"/>
      <c r="I13" s="241"/>
      <c r="J13" s="242"/>
      <c r="K13" s="100"/>
      <c r="L13" s="85"/>
    </row>
    <row r="14" spans="1:13" s="95" customFormat="1" ht="124.2" x14ac:dyDescent="0.3">
      <c r="A14" s="101" t="s">
        <v>13</v>
      </c>
      <c r="B14" s="232" t="s">
        <v>225</v>
      </c>
      <c r="C14" s="232"/>
      <c r="D14" s="232"/>
      <c r="E14" s="232"/>
      <c r="F14" s="232"/>
      <c r="G14" s="232"/>
      <c r="H14" s="232"/>
      <c r="I14" s="232"/>
      <c r="J14" s="233"/>
      <c r="K14" s="102"/>
      <c r="L14" s="85"/>
    </row>
  </sheetData>
  <mergeCells count="5">
    <mergeCell ref="B14:J14"/>
    <mergeCell ref="A1:E1"/>
    <mergeCell ref="B11:I11"/>
    <mergeCell ref="B12:J12"/>
    <mergeCell ref="A13:J13"/>
  </mergeCells>
  <hyperlinks>
    <hyperlink ref="B13" r:id="rId1" display="CST@2%" xr:uid="{00000000-0004-0000-1B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10"/>
  <sheetViews>
    <sheetView workbookViewId="0">
      <selection activeCell="H3" sqref="H3"/>
    </sheetView>
  </sheetViews>
  <sheetFormatPr defaultColWidth="9.109375" defaultRowHeight="13.8" x14ac:dyDescent="0.3"/>
  <cols>
    <col min="1" max="1" width="6.109375" style="13" customWidth="1"/>
    <col min="2" max="2" width="9.88671875" style="6" bestFit="1" customWidth="1"/>
    <col min="3" max="3" width="35.88671875" style="6" customWidth="1"/>
    <col min="4" max="4" width="5.88671875" style="14" bestFit="1" customWidth="1"/>
    <col min="5" max="5" width="5.33203125" style="14" customWidth="1"/>
    <col min="6" max="6" width="9" style="14" bestFit="1" customWidth="1"/>
    <col min="7" max="7" width="8.5546875" style="14" customWidth="1"/>
    <col min="8" max="9" width="13.33203125" style="14" customWidth="1"/>
    <col min="10" max="10" width="13.33203125" style="14" bestFit="1" customWidth="1"/>
    <col min="11" max="11" width="11" style="112" bestFit="1" customWidth="1"/>
    <col min="12" max="12" width="10.44140625" style="112" bestFit="1" customWidth="1"/>
    <col min="13" max="13" width="18.6640625" style="112" bestFit="1" customWidth="1"/>
    <col min="14" max="14" width="10.5546875" style="14" bestFit="1" customWidth="1"/>
    <col min="15" max="16384" width="9.109375" style="14"/>
  </cols>
  <sheetData>
    <row r="1" spans="1:13" s="13" customFormat="1" ht="13.5" customHeight="1" thickBot="1" x14ac:dyDescent="0.35">
      <c r="A1" s="243"/>
      <c r="B1" s="244"/>
      <c r="C1" s="244"/>
      <c r="D1" s="244"/>
      <c r="E1" s="245"/>
      <c r="F1" s="106"/>
      <c r="G1" s="107"/>
      <c r="H1" s="107"/>
      <c r="I1" s="107"/>
      <c r="J1" s="108"/>
      <c r="K1" s="2"/>
      <c r="L1" s="3"/>
      <c r="M1" s="3"/>
    </row>
    <row r="2" spans="1:13" s="109" customFormat="1" x14ac:dyDescent="0.3">
      <c r="A2" s="22" t="s">
        <v>0</v>
      </c>
      <c r="B2" s="23" t="s">
        <v>185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243</v>
      </c>
      <c r="J2" s="22" t="s">
        <v>154</v>
      </c>
      <c r="K2" s="24" t="s">
        <v>61</v>
      </c>
      <c r="L2" s="24" t="s">
        <v>60</v>
      </c>
      <c r="M2" s="24" t="s">
        <v>244</v>
      </c>
    </row>
    <row r="3" spans="1:13" ht="55.2" x14ac:dyDescent="0.3">
      <c r="A3" s="27">
        <v>1</v>
      </c>
      <c r="B3" s="39" t="s">
        <v>212</v>
      </c>
      <c r="C3" s="28" t="s">
        <v>248</v>
      </c>
      <c r="D3" s="27" t="s">
        <v>220</v>
      </c>
      <c r="E3" s="27">
        <v>4</v>
      </c>
      <c r="F3" s="27">
        <v>8481</v>
      </c>
      <c r="G3" s="30">
        <v>0.18</v>
      </c>
      <c r="H3" s="31">
        <f>K3*88*1.35</f>
        <v>21146.400000000001</v>
      </c>
      <c r="I3" s="31">
        <f>H3*18%</f>
        <v>3806.3520000000003</v>
      </c>
      <c r="J3" s="32">
        <f>E3*(H3+I3)</f>
        <v>99811.008000000002</v>
      </c>
      <c r="K3" s="2">
        <v>178</v>
      </c>
      <c r="L3" s="110">
        <v>32</v>
      </c>
      <c r="M3" s="2">
        <v>78</v>
      </c>
    </row>
    <row r="4" spans="1:13" ht="41.4" x14ac:dyDescent="0.3">
      <c r="A4" s="27">
        <v>2</v>
      </c>
      <c r="B4" s="39" t="s">
        <v>212</v>
      </c>
      <c r="C4" s="28" t="s">
        <v>247</v>
      </c>
      <c r="D4" s="27" t="s">
        <v>220</v>
      </c>
      <c r="E4" s="27">
        <v>4</v>
      </c>
      <c r="F4" s="27">
        <v>8481</v>
      </c>
      <c r="G4" s="30">
        <v>0.18</v>
      </c>
      <c r="H4" s="31">
        <f t="shared" ref="H4:H6" si="0">K4*88*1.35</f>
        <v>14256.000000000002</v>
      </c>
      <c r="I4" s="31">
        <f t="shared" ref="I4:I6" si="1">H4*18%</f>
        <v>2566.0800000000004</v>
      </c>
      <c r="J4" s="32">
        <f t="shared" ref="J4:J6" si="2">E4*(H4+I4)</f>
        <v>67288.320000000007</v>
      </c>
      <c r="K4" s="2">
        <v>120</v>
      </c>
      <c r="L4" s="110">
        <v>120</v>
      </c>
      <c r="M4" s="2">
        <v>76</v>
      </c>
    </row>
    <row r="5" spans="1:13" ht="41.4" x14ac:dyDescent="0.3">
      <c r="A5" s="27">
        <v>3</v>
      </c>
      <c r="B5" s="39" t="s">
        <v>212</v>
      </c>
      <c r="C5" s="28" t="s">
        <v>245</v>
      </c>
      <c r="D5" s="27" t="s">
        <v>220</v>
      </c>
      <c r="E5" s="27">
        <v>6</v>
      </c>
      <c r="F5" s="27">
        <v>8481</v>
      </c>
      <c r="G5" s="30">
        <v>0.18</v>
      </c>
      <c r="H5" s="31">
        <f t="shared" si="0"/>
        <v>3564.0000000000005</v>
      </c>
      <c r="I5" s="31">
        <f t="shared" si="1"/>
        <v>641.5200000000001</v>
      </c>
      <c r="J5" s="32">
        <f t="shared" si="2"/>
        <v>25233.120000000003</v>
      </c>
      <c r="K5" s="2">
        <v>30</v>
      </c>
      <c r="L5" s="110">
        <v>74</v>
      </c>
      <c r="M5" s="2">
        <v>18</v>
      </c>
    </row>
    <row r="6" spans="1:13" ht="41.4" x14ac:dyDescent="0.3">
      <c r="A6" s="27">
        <v>4</v>
      </c>
      <c r="B6" s="39" t="s">
        <v>212</v>
      </c>
      <c r="C6" s="28" t="s">
        <v>246</v>
      </c>
      <c r="D6" s="27" t="s">
        <v>220</v>
      </c>
      <c r="E6" s="27">
        <v>4</v>
      </c>
      <c r="F6" s="27">
        <v>8481</v>
      </c>
      <c r="G6" s="30">
        <v>0.18</v>
      </c>
      <c r="H6" s="31">
        <f t="shared" si="0"/>
        <v>14256.000000000002</v>
      </c>
      <c r="I6" s="31">
        <f t="shared" si="1"/>
        <v>2566.0800000000004</v>
      </c>
      <c r="J6" s="32">
        <f t="shared" si="2"/>
        <v>67288.320000000007</v>
      </c>
      <c r="K6" s="2">
        <v>120</v>
      </c>
      <c r="L6" s="110">
        <v>144</v>
      </c>
      <c r="M6" s="2">
        <v>90</v>
      </c>
    </row>
    <row r="7" spans="1:13" ht="14.4" thickBot="1" x14ac:dyDescent="0.35">
      <c r="A7" s="27">
        <v>5</v>
      </c>
      <c r="B7" s="214" t="s">
        <v>9</v>
      </c>
      <c r="C7" s="214"/>
      <c r="D7" s="214"/>
      <c r="E7" s="214"/>
      <c r="F7" s="214"/>
      <c r="G7" s="214"/>
      <c r="H7" s="214"/>
      <c r="I7" s="214"/>
      <c r="J7" s="105">
        <f>SUM(J3:J6)</f>
        <v>259620.76800000001</v>
      </c>
      <c r="K7" s="2"/>
      <c r="L7" s="2"/>
      <c r="M7" s="2"/>
    </row>
    <row r="8" spans="1:13" x14ac:dyDescent="0.3">
      <c r="A8" s="10"/>
      <c r="B8" s="246"/>
      <c r="C8" s="246"/>
      <c r="D8" s="246"/>
      <c r="E8" s="246"/>
      <c r="F8" s="246"/>
      <c r="G8" s="246"/>
      <c r="H8" s="246"/>
      <c r="I8" s="246"/>
      <c r="J8" s="247"/>
      <c r="K8" s="11"/>
      <c r="L8" s="2"/>
      <c r="M8" s="2"/>
    </row>
    <row r="9" spans="1:13" s="6" customFormat="1" x14ac:dyDescent="0.3">
      <c r="A9" s="218" t="s">
        <v>12</v>
      </c>
      <c r="B9" s="219"/>
      <c r="C9" s="219"/>
      <c r="D9" s="219"/>
      <c r="E9" s="219"/>
      <c r="F9" s="219"/>
      <c r="G9" s="219"/>
      <c r="H9" s="219"/>
      <c r="I9" s="219"/>
      <c r="J9" s="220"/>
      <c r="K9" s="16"/>
      <c r="L9" s="2"/>
    </row>
    <row r="10" spans="1:13" s="6" customFormat="1" ht="124.2" x14ac:dyDescent="0.3">
      <c r="A10" s="111" t="s">
        <v>13</v>
      </c>
      <c r="B10" s="209" t="s">
        <v>225</v>
      </c>
      <c r="C10" s="209"/>
      <c r="D10" s="209"/>
      <c r="E10" s="209"/>
      <c r="F10" s="209"/>
      <c r="G10" s="209"/>
      <c r="H10" s="209"/>
      <c r="I10" s="209"/>
      <c r="J10" s="210"/>
      <c r="K10" s="12"/>
      <c r="L10" s="2"/>
    </row>
  </sheetData>
  <mergeCells count="5">
    <mergeCell ref="A1:E1"/>
    <mergeCell ref="B7:I7"/>
    <mergeCell ref="B8:J8"/>
    <mergeCell ref="A9:J9"/>
    <mergeCell ref="B10:J10"/>
  </mergeCells>
  <hyperlinks>
    <hyperlink ref="B9" r:id="rId1" display="CST@2%" xr:uid="{00000000-0004-0000-1C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19"/>
  <sheetViews>
    <sheetView topLeftCell="A13" workbookViewId="0">
      <selection activeCell="A2" sqref="A2:I19"/>
    </sheetView>
  </sheetViews>
  <sheetFormatPr defaultColWidth="9.109375" defaultRowHeight="13.8" x14ac:dyDescent="0.3"/>
  <cols>
    <col min="1" max="1" width="6.109375" style="13" customWidth="1"/>
    <col min="2" max="2" width="14" style="6" bestFit="1" customWidth="1"/>
    <col min="3" max="3" width="45" style="6" customWidth="1"/>
    <col min="4" max="4" width="5.88671875" style="14" bestFit="1" customWidth="1"/>
    <col min="5" max="5" width="5.33203125" style="14" customWidth="1"/>
    <col min="6" max="6" width="9" style="14" bestFit="1" customWidth="1"/>
    <col min="7" max="7" width="8.5546875" style="14" customWidth="1"/>
    <col min="8" max="8" width="13.33203125" style="14" customWidth="1"/>
    <col min="9" max="9" width="13.33203125" style="14" bestFit="1" customWidth="1"/>
    <col min="10" max="10" width="11" style="112" bestFit="1" customWidth="1"/>
    <col min="11" max="11" width="10.5546875" style="112" bestFit="1" customWidth="1"/>
    <col min="12" max="12" width="8.6640625" style="112" bestFit="1" customWidth="1"/>
    <col min="13" max="13" width="10.5546875" style="14" bestFit="1" customWidth="1"/>
    <col min="14" max="16384" width="9.109375" style="14"/>
  </cols>
  <sheetData>
    <row r="1" spans="1:13" s="13" customFormat="1" ht="14.4" thickBot="1" x14ac:dyDescent="0.35">
      <c r="A1" s="243"/>
      <c r="B1" s="244"/>
      <c r="C1" s="244"/>
      <c r="D1" s="244"/>
      <c r="E1" s="245"/>
      <c r="F1" s="106"/>
      <c r="G1" s="107"/>
      <c r="H1" s="107"/>
      <c r="I1" s="108"/>
      <c r="J1" s="2"/>
      <c r="K1" s="3"/>
      <c r="L1" s="3"/>
      <c r="M1" s="4"/>
    </row>
    <row r="2" spans="1:13" s="109" customFormat="1" x14ac:dyDescent="0.3">
      <c r="A2" s="22" t="s">
        <v>0</v>
      </c>
      <c r="B2" s="23" t="s">
        <v>185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8</v>
      </c>
      <c r="J2" s="24" t="s">
        <v>61</v>
      </c>
      <c r="K2" s="24" t="s">
        <v>60</v>
      </c>
      <c r="L2" s="24" t="s">
        <v>107</v>
      </c>
      <c r="M2" s="25" t="s">
        <v>249</v>
      </c>
    </row>
    <row r="3" spans="1:13" ht="69" x14ac:dyDescent="0.3">
      <c r="A3" s="27">
        <v>1</v>
      </c>
      <c r="B3" s="39">
        <v>1200000278</v>
      </c>
      <c r="C3" s="28" t="s">
        <v>252</v>
      </c>
      <c r="D3" s="27" t="s">
        <v>56</v>
      </c>
      <c r="E3" s="27">
        <v>2</v>
      </c>
      <c r="F3" s="27">
        <v>8501</v>
      </c>
      <c r="G3" s="30">
        <v>0.18</v>
      </c>
      <c r="H3" s="31">
        <f>J3*88*1.32</f>
        <v>58080</v>
      </c>
      <c r="I3" s="32">
        <f>H3*E3</f>
        <v>116160</v>
      </c>
      <c r="J3" s="2">
        <v>500</v>
      </c>
      <c r="K3" s="114">
        <v>135</v>
      </c>
      <c r="L3" s="115"/>
      <c r="M3" s="116">
        <v>470</v>
      </c>
    </row>
    <row r="4" spans="1:13" ht="55.2" x14ac:dyDescent="0.3">
      <c r="A4" s="27">
        <v>2</v>
      </c>
      <c r="B4" s="39">
        <v>1200000278</v>
      </c>
      <c r="C4" s="28" t="s">
        <v>253</v>
      </c>
      <c r="D4" s="27" t="s">
        <v>56</v>
      </c>
      <c r="E4" s="27">
        <v>2</v>
      </c>
      <c r="F4" s="27">
        <v>8501</v>
      </c>
      <c r="G4" s="30">
        <v>0.18</v>
      </c>
      <c r="H4" s="31">
        <f t="shared" ref="H4:H5" si="0">J4*88*1.32</f>
        <v>139392</v>
      </c>
      <c r="I4" s="32">
        <f>H4*E4</f>
        <v>278784</v>
      </c>
      <c r="J4" s="2">
        <v>1200</v>
      </c>
      <c r="K4" s="117">
        <v>945</v>
      </c>
      <c r="L4" s="115" t="s">
        <v>147</v>
      </c>
      <c r="M4" s="116">
        <v>1000</v>
      </c>
    </row>
    <row r="5" spans="1:13" ht="41.4" x14ac:dyDescent="0.3">
      <c r="A5" s="27">
        <v>3</v>
      </c>
      <c r="B5" s="39">
        <v>1200000278</v>
      </c>
      <c r="C5" s="28" t="s">
        <v>114</v>
      </c>
      <c r="D5" s="27" t="s">
        <v>56</v>
      </c>
      <c r="E5" s="27">
        <v>1</v>
      </c>
      <c r="F5" s="27">
        <v>8501</v>
      </c>
      <c r="G5" s="30">
        <v>0.18</v>
      </c>
      <c r="H5" s="31">
        <f t="shared" si="0"/>
        <v>168432</v>
      </c>
      <c r="I5" s="32">
        <f>H5*E5</f>
        <v>168432</v>
      </c>
      <c r="J5" s="2">
        <v>1450</v>
      </c>
      <c r="K5" s="117">
        <v>798</v>
      </c>
      <c r="L5" s="115"/>
      <c r="M5" s="116">
        <v>1295</v>
      </c>
    </row>
    <row r="6" spans="1:13" ht="55.2" x14ac:dyDescent="0.3">
      <c r="A6" s="27">
        <v>4</v>
      </c>
      <c r="B6" s="39">
        <v>1200000278</v>
      </c>
      <c r="C6" s="28" t="s">
        <v>110</v>
      </c>
      <c r="D6" s="27" t="s">
        <v>56</v>
      </c>
      <c r="E6" s="27">
        <v>1</v>
      </c>
      <c r="F6" s="27">
        <v>8501</v>
      </c>
      <c r="G6" s="30">
        <v>0.18</v>
      </c>
      <c r="H6" s="31" t="s">
        <v>250</v>
      </c>
      <c r="I6" s="32">
        <v>0</v>
      </c>
      <c r="J6" s="2">
        <f>K6+20</f>
        <v>215</v>
      </c>
      <c r="K6" s="117">
        <v>195</v>
      </c>
      <c r="L6" s="115"/>
      <c r="M6" s="116" t="s">
        <v>250</v>
      </c>
    </row>
    <row r="7" spans="1:13" ht="55.2" x14ac:dyDescent="0.3">
      <c r="A7" s="27">
        <v>5</v>
      </c>
      <c r="B7" s="39">
        <v>1200000278</v>
      </c>
      <c r="C7" s="28" t="s">
        <v>111</v>
      </c>
      <c r="D7" s="27" t="s">
        <v>56</v>
      </c>
      <c r="E7" s="27">
        <v>2</v>
      </c>
      <c r="F7" s="27">
        <v>8501</v>
      </c>
      <c r="G7" s="30">
        <v>0.18</v>
      </c>
      <c r="H7" s="31" t="s">
        <v>71</v>
      </c>
      <c r="I7" s="32">
        <v>0</v>
      </c>
      <c r="J7" s="2"/>
      <c r="K7" s="117"/>
      <c r="L7" s="115"/>
      <c r="M7" s="116"/>
    </row>
    <row r="8" spans="1:13" ht="55.2" x14ac:dyDescent="0.3">
      <c r="A8" s="27">
        <v>6</v>
      </c>
      <c r="B8" s="39">
        <v>1200000278</v>
      </c>
      <c r="C8" s="28" t="s">
        <v>254</v>
      </c>
      <c r="D8" s="27" t="s">
        <v>56</v>
      </c>
      <c r="E8" s="27">
        <v>2</v>
      </c>
      <c r="F8" s="27">
        <v>8501</v>
      </c>
      <c r="G8" s="30">
        <v>0.18</v>
      </c>
      <c r="H8" s="31">
        <f>J8*88*1.32</f>
        <v>92928</v>
      </c>
      <c r="I8" s="32">
        <f>H8*E8</f>
        <v>185856</v>
      </c>
      <c r="J8" s="2">
        <v>800</v>
      </c>
      <c r="K8" s="114">
        <v>239</v>
      </c>
      <c r="L8" s="115"/>
      <c r="M8" s="116"/>
    </row>
    <row r="9" spans="1:13" ht="55.2" x14ac:dyDescent="0.3">
      <c r="A9" s="27">
        <v>7</v>
      </c>
      <c r="B9" s="39">
        <v>1200000278</v>
      </c>
      <c r="C9" s="28" t="s">
        <v>112</v>
      </c>
      <c r="D9" s="27" t="s">
        <v>56</v>
      </c>
      <c r="E9" s="27">
        <v>1</v>
      </c>
      <c r="F9" s="27">
        <v>8501</v>
      </c>
      <c r="G9" s="30">
        <v>0.18</v>
      </c>
      <c r="H9" s="31" t="s">
        <v>71</v>
      </c>
      <c r="I9" s="32">
        <v>0</v>
      </c>
      <c r="J9" s="2"/>
      <c r="K9" s="117"/>
      <c r="L9" s="118"/>
      <c r="M9" s="116"/>
    </row>
    <row r="10" spans="1:13" ht="69" x14ac:dyDescent="0.3">
      <c r="A10" s="27">
        <v>8</v>
      </c>
      <c r="B10" s="39">
        <v>1200000278</v>
      </c>
      <c r="C10" s="28" t="s">
        <v>118</v>
      </c>
      <c r="D10" s="27" t="s">
        <v>56</v>
      </c>
      <c r="E10" s="27">
        <v>1</v>
      </c>
      <c r="F10" s="27">
        <v>8501</v>
      </c>
      <c r="G10" s="30">
        <v>0.18</v>
      </c>
      <c r="H10" s="31">
        <f t="shared" ref="H10:H12" si="1">J10*88*1.32</f>
        <v>284592</v>
      </c>
      <c r="I10" s="32">
        <f>H10*E10</f>
        <v>284592</v>
      </c>
      <c r="J10" s="2">
        <v>2450</v>
      </c>
      <c r="K10" s="117">
        <v>1450</v>
      </c>
      <c r="L10" s="115"/>
      <c r="M10" s="116">
        <v>2200</v>
      </c>
    </row>
    <row r="11" spans="1:13" ht="41.4" x14ac:dyDescent="0.3">
      <c r="A11" s="27">
        <v>9</v>
      </c>
      <c r="B11" s="39">
        <v>1200000278</v>
      </c>
      <c r="C11" s="28" t="s">
        <v>117</v>
      </c>
      <c r="D11" s="27" t="s">
        <v>56</v>
      </c>
      <c r="E11" s="27">
        <v>3</v>
      </c>
      <c r="F11" s="27">
        <v>8501</v>
      </c>
      <c r="G11" s="30">
        <v>0.18</v>
      </c>
      <c r="H11" s="31">
        <f t="shared" si="1"/>
        <v>29040</v>
      </c>
      <c r="I11" s="32">
        <f t="shared" ref="I11:I12" si="2">H11*E11</f>
        <v>87120</v>
      </c>
      <c r="J11" s="2">
        <v>250</v>
      </c>
      <c r="K11" s="117">
        <v>96</v>
      </c>
      <c r="L11" s="115"/>
      <c r="M11" s="116">
        <v>1</v>
      </c>
    </row>
    <row r="12" spans="1:13" ht="55.2" x14ac:dyDescent="0.3">
      <c r="A12" s="27">
        <v>10</v>
      </c>
      <c r="B12" s="39">
        <v>1200000278</v>
      </c>
      <c r="C12" s="28" t="s">
        <v>113</v>
      </c>
      <c r="D12" s="27" t="s">
        <v>56</v>
      </c>
      <c r="E12" s="27">
        <v>1</v>
      </c>
      <c r="F12" s="27">
        <v>8501</v>
      </c>
      <c r="G12" s="30">
        <v>0.18</v>
      </c>
      <c r="H12" s="31">
        <f t="shared" si="1"/>
        <v>627264</v>
      </c>
      <c r="I12" s="32">
        <f t="shared" si="2"/>
        <v>627264</v>
      </c>
      <c r="J12" s="2">
        <v>5400</v>
      </c>
      <c r="K12" s="117">
        <v>3800</v>
      </c>
      <c r="L12" s="2"/>
      <c r="M12" s="35">
        <v>5100</v>
      </c>
    </row>
    <row r="13" spans="1:13" ht="69" x14ac:dyDescent="0.3">
      <c r="A13" s="27">
        <v>11</v>
      </c>
      <c r="B13" s="39">
        <v>1200000278</v>
      </c>
      <c r="C13" s="28" t="s">
        <v>252</v>
      </c>
      <c r="D13" s="27" t="s">
        <v>56</v>
      </c>
      <c r="E13" s="27">
        <v>2</v>
      </c>
      <c r="F13" s="27">
        <v>8501</v>
      </c>
      <c r="G13" s="30">
        <v>0.18</v>
      </c>
      <c r="H13" s="31">
        <f>J13*88*1.32</f>
        <v>63888</v>
      </c>
      <c r="I13" s="32">
        <f>H13*E13</f>
        <v>127776</v>
      </c>
      <c r="J13" s="2">
        <v>550</v>
      </c>
      <c r="K13" s="114">
        <v>135</v>
      </c>
      <c r="L13" s="115"/>
      <c r="M13" s="116">
        <v>470</v>
      </c>
    </row>
    <row r="14" spans="1:13" x14ac:dyDescent="0.3">
      <c r="A14" s="27">
        <v>12</v>
      </c>
      <c r="B14" s="214" t="s">
        <v>98</v>
      </c>
      <c r="C14" s="214"/>
      <c r="D14" s="214"/>
      <c r="E14" s="214"/>
      <c r="F14" s="214"/>
      <c r="G14" s="214"/>
      <c r="H14" s="214"/>
      <c r="I14" s="105">
        <f>SUM(I3:I12)</f>
        <v>1748208</v>
      </c>
      <c r="J14" s="2"/>
      <c r="K14" s="2"/>
      <c r="L14" s="2"/>
      <c r="M14" s="6"/>
    </row>
    <row r="15" spans="1:13" x14ac:dyDescent="0.3">
      <c r="A15" s="27">
        <v>13</v>
      </c>
      <c r="B15" s="214" t="s">
        <v>99</v>
      </c>
      <c r="C15" s="214"/>
      <c r="D15" s="214"/>
      <c r="E15" s="214"/>
      <c r="F15" s="214"/>
      <c r="G15" s="214"/>
      <c r="H15" s="214"/>
      <c r="I15" s="105">
        <f>I14*18%</f>
        <v>314677.44</v>
      </c>
      <c r="J15" s="2"/>
      <c r="K15" s="2"/>
      <c r="L15" s="2"/>
      <c r="M15" s="6"/>
    </row>
    <row r="16" spans="1:13" ht="14.4" thickBot="1" x14ac:dyDescent="0.35">
      <c r="A16" s="27">
        <v>14</v>
      </c>
      <c r="B16" s="214" t="s">
        <v>9</v>
      </c>
      <c r="C16" s="214"/>
      <c r="D16" s="214"/>
      <c r="E16" s="214"/>
      <c r="F16" s="214"/>
      <c r="G16" s="214"/>
      <c r="H16" s="214"/>
      <c r="I16" s="105">
        <f>I14+I15</f>
        <v>2062885.44</v>
      </c>
      <c r="J16" s="2"/>
      <c r="K16" s="2"/>
      <c r="L16" s="2"/>
      <c r="M16" s="6"/>
    </row>
    <row r="17" spans="1:13" ht="14.4" customHeight="1" x14ac:dyDescent="0.3">
      <c r="A17" s="251" t="s">
        <v>251</v>
      </c>
      <c r="B17" s="252"/>
      <c r="C17" s="252"/>
      <c r="D17" s="252"/>
      <c r="E17" s="252"/>
      <c r="F17" s="252"/>
      <c r="G17" s="252"/>
      <c r="H17" s="252"/>
      <c r="I17" s="253"/>
      <c r="J17" s="11"/>
      <c r="K17" s="2"/>
      <c r="L17" s="2"/>
      <c r="M17" s="6"/>
    </row>
    <row r="18" spans="1:13" s="6" customFormat="1" x14ac:dyDescent="0.3">
      <c r="A18" s="218" t="s">
        <v>12</v>
      </c>
      <c r="B18" s="219"/>
      <c r="C18" s="219"/>
      <c r="D18" s="219"/>
      <c r="E18" s="219"/>
      <c r="F18" s="219"/>
      <c r="G18" s="219"/>
      <c r="H18" s="219"/>
      <c r="I18" s="220"/>
      <c r="J18" s="16"/>
      <c r="K18" s="2"/>
    </row>
    <row r="19" spans="1:13" s="6" customFormat="1" ht="124.2" x14ac:dyDescent="0.3">
      <c r="A19" s="111" t="s">
        <v>13</v>
      </c>
      <c r="B19" s="209" t="s">
        <v>73</v>
      </c>
      <c r="C19" s="209"/>
      <c r="D19" s="209"/>
      <c r="E19" s="209"/>
      <c r="F19" s="209"/>
      <c r="G19" s="209"/>
      <c r="H19" s="209"/>
      <c r="I19" s="210"/>
      <c r="J19" s="12"/>
      <c r="K19" s="2"/>
    </row>
  </sheetData>
  <mergeCells count="7">
    <mergeCell ref="B19:I19"/>
    <mergeCell ref="A17:I17"/>
    <mergeCell ref="A1:E1"/>
    <mergeCell ref="B14:H14"/>
    <mergeCell ref="B15:H15"/>
    <mergeCell ref="B16:H16"/>
    <mergeCell ref="A18:I18"/>
  </mergeCells>
  <hyperlinks>
    <hyperlink ref="B18" r:id="rId1" display="CST@2%" xr:uid="{00000000-0004-0000-1D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11"/>
  <sheetViews>
    <sheetView topLeftCell="A2" workbookViewId="0">
      <selection activeCell="K2" sqref="K2"/>
    </sheetView>
  </sheetViews>
  <sheetFormatPr defaultColWidth="9.109375" defaultRowHeight="13.8" x14ac:dyDescent="0.3"/>
  <cols>
    <col min="1" max="1" width="6.109375" style="13" customWidth="1"/>
    <col min="2" max="2" width="14" style="6" bestFit="1" customWidth="1"/>
    <col min="3" max="3" width="45" style="6" customWidth="1"/>
    <col min="4" max="4" width="5.88671875" style="14" bestFit="1" customWidth="1"/>
    <col min="5" max="5" width="5.33203125" style="14" customWidth="1"/>
    <col min="6" max="6" width="9" style="14" bestFit="1" customWidth="1"/>
    <col min="7" max="7" width="8.5546875" style="14" customWidth="1"/>
    <col min="8" max="8" width="16" style="14" bestFit="1" customWidth="1"/>
    <col min="9" max="9" width="13.33203125" style="14" bestFit="1" customWidth="1"/>
    <col min="10" max="10" width="11" style="112" bestFit="1" customWidth="1"/>
    <col min="11" max="11" width="10.5546875" style="112" bestFit="1" customWidth="1"/>
    <col min="12" max="12" width="8.6640625" style="112" bestFit="1" customWidth="1"/>
    <col min="13" max="13" width="10.5546875" style="14" bestFit="1" customWidth="1"/>
    <col min="14" max="16384" width="9.109375" style="14"/>
  </cols>
  <sheetData>
    <row r="1" spans="1:13" s="13" customFormat="1" ht="14.4" thickBot="1" x14ac:dyDescent="0.35">
      <c r="A1" s="243"/>
      <c r="B1" s="244"/>
      <c r="C1" s="244"/>
      <c r="D1" s="244"/>
      <c r="E1" s="245"/>
      <c r="F1" s="106"/>
      <c r="G1" s="107"/>
      <c r="H1" s="107"/>
      <c r="I1" s="108"/>
      <c r="J1" s="2"/>
      <c r="K1" s="3"/>
      <c r="L1" s="3"/>
      <c r="M1" s="4"/>
    </row>
    <row r="2" spans="1:13" s="109" customFormat="1" x14ac:dyDescent="0.3">
      <c r="A2" s="22" t="s">
        <v>0</v>
      </c>
      <c r="B2" s="23" t="s">
        <v>185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8</v>
      </c>
      <c r="J2" s="24" t="s">
        <v>61</v>
      </c>
      <c r="K2" s="24" t="s">
        <v>255</v>
      </c>
      <c r="L2" s="24" t="s">
        <v>107</v>
      </c>
      <c r="M2" s="25" t="s">
        <v>249</v>
      </c>
    </row>
    <row r="3" spans="1:13" ht="55.2" x14ac:dyDescent="0.3">
      <c r="A3" s="27">
        <v>1</v>
      </c>
      <c r="B3" s="39" t="s">
        <v>212</v>
      </c>
      <c r="C3" s="28" t="s">
        <v>259</v>
      </c>
      <c r="D3" s="27" t="s">
        <v>220</v>
      </c>
      <c r="E3" s="27">
        <v>1</v>
      </c>
      <c r="F3" s="27">
        <v>8481</v>
      </c>
      <c r="G3" s="30">
        <v>0.18</v>
      </c>
      <c r="H3" s="31">
        <f>J3*88*1.32</f>
        <v>257875.20000000001</v>
      </c>
      <c r="I3" s="32">
        <f>H3*E3</f>
        <v>257875.20000000001</v>
      </c>
      <c r="J3" s="2">
        <v>2220</v>
      </c>
      <c r="K3" s="114">
        <f>2155.39+50</f>
        <v>2205.39</v>
      </c>
      <c r="L3" s="115"/>
      <c r="M3" s="116"/>
    </row>
    <row r="4" spans="1:13" ht="41.4" x14ac:dyDescent="0.3">
      <c r="A4" s="27">
        <v>2</v>
      </c>
      <c r="B4" s="39" t="s">
        <v>212</v>
      </c>
      <c r="C4" s="28" t="s">
        <v>257</v>
      </c>
      <c r="D4" s="27" t="s">
        <v>220</v>
      </c>
      <c r="E4" s="27">
        <v>1</v>
      </c>
      <c r="F4" s="27">
        <v>8481</v>
      </c>
      <c r="G4" s="30">
        <v>0.18</v>
      </c>
      <c r="H4" s="31" t="s">
        <v>256</v>
      </c>
      <c r="I4" s="32">
        <v>0</v>
      </c>
      <c r="J4" s="2"/>
      <c r="K4" s="117"/>
      <c r="L4" s="115"/>
      <c r="M4" s="116"/>
    </row>
    <row r="5" spans="1:13" ht="55.2" x14ac:dyDescent="0.3">
      <c r="A5" s="27">
        <v>3</v>
      </c>
      <c r="B5" s="39" t="s">
        <v>212</v>
      </c>
      <c r="C5" s="28" t="s">
        <v>258</v>
      </c>
      <c r="D5" s="27" t="s">
        <v>56</v>
      </c>
      <c r="E5" s="27">
        <v>1</v>
      </c>
      <c r="F5" s="27">
        <v>8481</v>
      </c>
      <c r="G5" s="30">
        <v>0.18</v>
      </c>
      <c r="H5" s="31">
        <f t="shared" ref="H5" si="0">J5*88*1.32</f>
        <v>45302.400000000001</v>
      </c>
      <c r="I5" s="32">
        <f>H5*E5</f>
        <v>45302.400000000001</v>
      </c>
      <c r="J5" s="2">
        <v>390</v>
      </c>
      <c r="K5" s="117">
        <f>355+30</f>
        <v>385</v>
      </c>
      <c r="L5" s="115"/>
      <c r="M5" s="116"/>
    </row>
    <row r="6" spans="1:13" x14ac:dyDescent="0.3">
      <c r="A6" s="27">
        <v>4</v>
      </c>
      <c r="B6" s="214" t="s">
        <v>98</v>
      </c>
      <c r="C6" s="214"/>
      <c r="D6" s="214"/>
      <c r="E6" s="214"/>
      <c r="F6" s="214"/>
      <c r="G6" s="214"/>
      <c r="H6" s="214"/>
      <c r="I6" s="105">
        <f>SUM(I3:I5)</f>
        <v>303177.60000000003</v>
      </c>
      <c r="J6" s="2"/>
      <c r="K6" s="2"/>
      <c r="L6" s="2"/>
      <c r="M6" s="6"/>
    </row>
    <row r="7" spans="1:13" x14ac:dyDescent="0.3">
      <c r="A7" s="27">
        <v>5</v>
      </c>
      <c r="B7" s="214" t="s">
        <v>99</v>
      </c>
      <c r="C7" s="214"/>
      <c r="D7" s="214"/>
      <c r="E7" s="214"/>
      <c r="F7" s="214"/>
      <c r="G7" s="214"/>
      <c r="H7" s="214"/>
      <c r="I7" s="105">
        <f>I6*18%</f>
        <v>54571.968000000001</v>
      </c>
      <c r="J7" s="2"/>
      <c r="K7" s="2"/>
      <c r="L7" s="2"/>
      <c r="M7" s="6"/>
    </row>
    <row r="8" spans="1:13" ht="14.4" thickBot="1" x14ac:dyDescent="0.35">
      <c r="A8" s="27">
        <v>6</v>
      </c>
      <c r="B8" s="214" t="s">
        <v>9</v>
      </c>
      <c r="C8" s="214"/>
      <c r="D8" s="214"/>
      <c r="E8" s="214"/>
      <c r="F8" s="214"/>
      <c r="G8" s="214"/>
      <c r="H8" s="214"/>
      <c r="I8" s="105">
        <f>I6+I7</f>
        <v>357749.56800000003</v>
      </c>
      <c r="J8" s="2"/>
      <c r="K8" s="2"/>
      <c r="L8" s="2"/>
      <c r="M8" s="6"/>
    </row>
    <row r="9" spans="1:13" ht="14.4" customHeight="1" x14ac:dyDescent="0.3">
      <c r="A9" s="251"/>
      <c r="B9" s="252"/>
      <c r="C9" s="252"/>
      <c r="D9" s="252"/>
      <c r="E9" s="252"/>
      <c r="F9" s="252"/>
      <c r="G9" s="252"/>
      <c r="H9" s="252"/>
      <c r="I9" s="253"/>
      <c r="J9" s="11"/>
      <c r="K9" s="2"/>
      <c r="L9" s="2"/>
      <c r="M9" s="6"/>
    </row>
    <row r="10" spans="1:13" s="6" customFormat="1" x14ac:dyDescent="0.3">
      <c r="A10" s="218" t="s">
        <v>12</v>
      </c>
      <c r="B10" s="219"/>
      <c r="C10" s="219"/>
      <c r="D10" s="219"/>
      <c r="E10" s="219"/>
      <c r="F10" s="219"/>
      <c r="G10" s="219"/>
      <c r="H10" s="219"/>
      <c r="I10" s="220"/>
      <c r="J10" s="16"/>
      <c r="K10" s="2"/>
    </row>
    <row r="11" spans="1:13" s="6" customFormat="1" ht="124.2" x14ac:dyDescent="0.3">
      <c r="A11" s="111" t="s">
        <v>13</v>
      </c>
      <c r="B11" s="209" t="s">
        <v>73</v>
      </c>
      <c r="C11" s="209"/>
      <c r="D11" s="209"/>
      <c r="E11" s="209"/>
      <c r="F11" s="209"/>
      <c r="G11" s="209"/>
      <c r="H11" s="209"/>
      <c r="I11" s="210"/>
      <c r="J11" s="12"/>
      <c r="K11" s="2"/>
    </row>
  </sheetData>
  <mergeCells count="7">
    <mergeCell ref="B11:I11"/>
    <mergeCell ref="A1:E1"/>
    <mergeCell ref="B6:H6"/>
    <mergeCell ref="B7:H7"/>
    <mergeCell ref="B8:H8"/>
    <mergeCell ref="A9:I9"/>
    <mergeCell ref="A10:I10"/>
  </mergeCells>
  <hyperlinks>
    <hyperlink ref="B10" r:id="rId1" display="CST@2%" xr:uid="{00000000-0004-0000-1E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9"/>
  <sheetViews>
    <sheetView topLeftCell="A2" workbookViewId="0">
      <selection activeCell="B2" sqref="B2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57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60</v>
      </c>
      <c r="L2" s="80" t="s">
        <v>153</v>
      </c>
    </row>
    <row r="3" spans="1:12" ht="220.8" x14ac:dyDescent="0.3">
      <c r="A3" s="88">
        <v>1</v>
      </c>
      <c r="B3" s="89" t="s">
        <v>122</v>
      </c>
      <c r="C3" s="90" t="s">
        <v>260</v>
      </c>
      <c r="D3" s="88" t="s">
        <v>127</v>
      </c>
      <c r="E3" s="88">
        <v>6</v>
      </c>
      <c r="F3" s="88">
        <v>8481</v>
      </c>
      <c r="G3" s="91">
        <v>0.18</v>
      </c>
      <c r="H3" s="92">
        <f>J3*88*1.3</f>
        <v>257400</v>
      </c>
      <c r="I3" s="93">
        <f t="shared" ref="I3" si="0">H3*E3</f>
        <v>1544400</v>
      </c>
      <c r="J3" s="85">
        <v>2250</v>
      </c>
      <c r="K3" s="94">
        <f>2072*1.03</f>
        <v>2134.16</v>
      </c>
      <c r="L3" s="85">
        <v>2150</v>
      </c>
    </row>
    <row r="4" spans="1:12" x14ac:dyDescent="0.3">
      <c r="A4" s="88">
        <v>2</v>
      </c>
      <c r="B4" s="237" t="s">
        <v>98</v>
      </c>
      <c r="C4" s="237"/>
      <c r="D4" s="237"/>
      <c r="E4" s="237"/>
      <c r="F4" s="237"/>
      <c r="G4" s="237"/>
      <c r="H4" s="237"/>
      <c r="I4" s="97">
        <f>SUM(I3:I3)</f>
        <v>1544400</v>
      </c>
      <c r="J4" s="85"/>
      <c r="K4" s="85"/>
      <c r="L4" s="85"/>
    </row>
    <row r="5" spans="1:12" x14ac:dyDescent="0.3">
      <c r="A5" s="88">
        <v>3</v>
      </c>
      <c r="B5" s="237" t="s">
        <v>99</v>
      </c>
      <c r="C5" s="237"/>
      <c r="D5" s="237"/>
      <c r="E5" s="237"/>
      <c r="F5" s="237"/>
      <c r="G5" s="237"/>
      <c r="H5" s="237"/>
      <c r="I5" s="97">
        <f>I4*18%</f>
        <v>277992</v>
      </c>
      <c r="J5" s="85"/>
      <c r="K5" s="85"/>
      <c r="L5" s="85"/>
    </row>
    <row r="6" spans="1:12" ht="14.4" thickBot="1" x14ac:dyDescent="0.35">
      <c r="A6" s="88">
        <v>4</v>
      </c>
      <c r="B6" s="237" t="s">
        <v>9</v>
      </c>
      <c r="C6" s="237"/>
      <c r="D6" s="237"/>
      <c r="E6" s="237"/>
      <c r="F6" s="237"/>
      <c r="G6" s="237"/>
      <c r="H6" s="237"/>
      <c r="I6" s="97">
        <f>I4+I5</f>
        <v>1822392</v>
      </c>
      <c r="J6" s="85"/>
      <c r="K6" s="85"/>
      <c r="L6" s="85"/>
    </row>
    <row r="7" spans="1:12" x14ac:dyDescent="0.3">
      <c r="A7" s="98"/>
      <c r="B7" s="238"/>
      <c r="C7" s="238"/>
      <c r="D7" s="238"/>
      <c r="E7" s="238"/>
      <c r="F7" s="238"/>
      <c r="G7" s="238"/>
      <c r="H7" s="238"/>
      <c r="I7" s="239"/>
      <c r="J7" s="99"/>
      <c r="K7" s="85"/>
      <c r="L7" s="85"/>
    </row>
    <row r="8" spans="1:12" s="95" customFormat="1" x14ac:dyDescent="0.3">
      <c r="A8" s="240" t="s">
        <v>12</v>
      </c>
      <c r="B8" s="241"/>
      <c r="C8" s="241"/>
      <c r="D8" s="241"/>
      <c r="E8" s="241"/>
      <c r="F8" s="241"/>
      <c r="G8" s="241"/>
      <c r="H8" s="241"/>
      <c r="I8" s="242"/>
      <c r="J8" s="100"/>
      <c r="K8" s="85"/>
    </row>
    <row r="9" spans="1:12" s="95" customFormat="1" ht="124.2" x14ac:dyDescent="0.3">
      <c r="A9" s="101" t="s">
        <v>13</v>
      </c>
      <c r="B9" s="232" t="s">
        <v>187</v>
      </c>
      <c r="C9" s="232"/>
      <c r="D9" s="232"/>
      <c r="E9" s="232"/>
      <c r="F9" s="232"/>
      <c r="G9" s="232"/>
      <c r="H9" s="232"/>
      <c r="I9" s="233"/>
      <c r="J9" s="102"/>
      <c r="K9" s="85"/>
      <c r="L9" s="95">
        <f>2367*77*1.27</f>
        <v>231468.93</v>
      </c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1F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17"/>
  <sheetViews>
    <sheetView workbookViewId="0">
      <selection activeCell="J8" sqref="J8:K8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57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261</v>
      </c>
      <c r="L2" s="80" t="s">
        <v>153</v>
      </c>
    </row>
    <row r="3" spans="1:12" ht="27.6" x14ac:dyDescent="0.3">
      <c r="A3" s="88">
        <v>1</v>
      </c>
      <c r="B3" s="89">
        <v>4000009744</v>
      </c>
      <c r="C3" s="90" t="s">
        <v>262</v>
      </c>
      <c r="D3" s="88" t="s">
        <v>263</v>
      </c>
      <c r="E3" s="88">
        <v>6</v>
      </c>
      <c r="F3" s="88">
        <v>8421</v>
      </c>
      <c r="G3" s="91">
        <v>0.18</v>
      </c>
      <c r="H3" s="92">
        <f t="shared" ref="H3:H11" si="0">J3*88*1.3</f>
        <v>7436</v>
      </c>
      <c r="I3" s="93">
        <f t="shared" ref="I3:I11" si="1">H3*E3</f>
        <v>44616</v>
      </c>
      <c r="J3" s="85">
        <v>65</v>
      </c>
      <c r="K3" s="94">
        <v>45</v>
      </c>
      <c r="L3" s="85"/>
    </row>
    <row r="4" spans="1:12" ht="27.6" x14ac:dyDescent="0.3">
      <c r="A4" s="88">
        <v>2</v>
      </c>
      <c r="B4" s="89">
        <v>4000009622</v>
      </c>
      <c r="C4" s="90" t="s">
        <v>264</v>
      </c>
      <c r="D4" s="88" t="s">
        <v>263</v>
      </c>
      <c r="E4" s="88">
        <v>6</v>
      </c>
      <c r="F4" s="88">
        <v>8421</v>
      </c>
      <c r="G4" s="91">
        <v>0.18</v>
      </c>
      <c r="H4" s="92">
        <f t="shared" si="0"/>
        <v>4576</v>
      </c>
      <c r="I4" s="93">
        <f t="shared" si="1"/>
        <v>27456</v>
      </c>
      <c r="J4" s="85">
        <v>40</v>
      </c>
      <c r="K4" s="94">
        <v>25</v>
      </c>
      <c r="L4" s="85"/>
    </row>
    <row r="5" spans="1:12" ht="41.4" x14ac:dyDescent="0.3">
      <c r="A5" s="88">
        <v>3</v>
      </c>
      <c r="B5" s="89">
        <v>4000009623</v>
      </c>
      <c r="C5" s="90" t="s">
        <v>265</v>
      </c>
      <c r="D5" s="88" t="s">
        <v>263</v>
      </c>
      <c r="E5" s="88">
        <v>6</v>
      </c>
      <c r="F5" s="88">
        <v>8421</v>
      </c>
      <c r="G5" s="91">
        <v>0.18</v>
      </c>
      <c r="H5" s="92">
        <f t="shared" si="0"/>
        <v>4004</v>
      </c>
      <c r="I5" s="93">
        <f t="shared" si="1"/>
        <v>24024</v>
      </c>
      <c r="J5" s="85">
        <v>35</v>
      </c>
      <c r="K5" s="94">
        <v>20</v>
      </c>
      <c r="L5" s="85"/>
    </row>
    <row r="6" spans="1:12" ht="27.6" x14ac:dyDescent="0.3">
      <c r="A6" s="88">
        <v>4</v>
      </c>
      <c r="B6" s="89">
        <v>4000009706</v>
      </c>
      <c r="C6" s="90" t="s">
        <v>266</v>
      </c>
      <c r="D6" s="88" t="s">
        <v>263</v>
      </c>
      <c r="E6" s="88">
        <v>6</v>
      </c>
      <c r="F6" s="88">
        <v>8421</v>
      </c>
      <c r="G6" s="91">
        <v>0.18</v>
      </c>
      <c r="H6" s="92">
        <f t="shared" si="0"/>
        <v>8008</v>
      </c>
      <c r="I6" s="93">
        <f t="shared" si="1"/>
        <v>48048</v>
      </c>
      <c r="J6" s="85">
        <v>70</v>
      </c>
      <c r="K6" s="94">
        <v>50</v>
      </c>
      <c r="L6" s="85"/>
    </row>
    <row r="7" spans="1:12" ht="55.2" x14ac:dyDescent="0.3">
      <c r="A7" s="88">
        <v>5</v>
      </c>
      <c r="B7" s="89">
        <v>4000015569</v>
      </c>
      <c r="C7" s="90" t="s">
        <v>267</v>
      </c>
      <c r="D7" s="88" t="s">
        <v>263</v>
      </c>
      <c r="E7" s="88">
        <v>16</v>
      </c>
      <c r="F7" s="88">
        <v>8421</v>
      </c>
      <c r="G7" s="91">
        <v>0.18</v>
      </c>
      <c r="H7" s="92">
        <f t="shared" si="0"/>
        <v>4576</v>
      </c>
      <c r="I7" s="93">
        <f t="shared" si="1"/>
        <v>73216</v>
      </c>
      <c r="J7" s="85">
        <v>40</v>
      </c>
      <c r="K7" s="94">
        <v>18</v>
      </c>
      <c r="L7" s="85"/>
    </row>
    <row r="8" spans="1:12" ht="55.2" x14ac:dyDescent="0.3">
      <c r="A8" s="88">
        <v>6</v>
      </c>
      <c r="B8" s="89">
        <v>4000016042</v>
      </c>
      <c r="C8" s="90" t="s">
        <v>268</v>
      </c>
      <c r="D8" s="88" t="s">
        <v>263</v>
      </c>
      <c r="E8" s="88">
        <v>2</v>
      </c>
      <c r="F8" s="88">
        <v>8421</v>
      </c>
      <c r="G8" s="91">
        <v>0.18</v>
      </c>
      <c r="H8" s="92">
        <f t="shared" si="0"/>
        <v>16588</v>
      </c>
      <c r="I8" s="93">
        <f t="shared" si="1"/>
        <v>33176</v>
      </c>
      <c r="J8" s="85">
        <v>145</v>
      </c>
      <c r="K8" s="94">
        <v>105</v>
      </c>
      <c r="L8" s="85"/>
    </row>
    <row r="9" spans="1:12" ht="27.6" x14ac:dyDescent="0.3">
      <c r="A9" s="88">
        <v>7</v>
      </c>
      <c r="B9" s="89">
        <v>7000003796</v>
      </c>
      <c r="C9" s="90" t="s">
        <v>269</v>
      </c>
      <c r="D9" s="88" t="s">
        <v>263</v>
      </c>
      <c r="E9" s="88">
        <v>4</v>
      </c>
      <c r="F9" s="88">
        <v>8421</v>
      </c>
      <c r="G9" s="91">
        <v>0.18</v>
      </c>
      <c r="H9" s="92">
        <f t="shared" si="0"/>
        <v>51480</v>
      </c>
      <c r="I9" s="93">
        <f t="shared" si="1"/>
        <v>205920</v>
      </c>
      <c r="J9" s="85">
        <v>450</v>
      </c>
      <c r="K9" s="94">
        <v>360</v>
      </c>
      <c r="L9" s="85"/>
    </row>
    <row r="10" spans="1:12" ht="27.6" x14ac:dyDescent="0.3">
      <c r="A10" s="88">
        <v>8</v>
      </c>
      <c r="B10" s="89">
        <v>7000003797</v>
      </c>
      <c r="C10" s="90" t="s">
        <v>270</v>
      </c>
      <c r="D10" s="88" t="s">
        <v>263</v>
      </c>
      <c r="E10" s="88">
        <v>4</v>
      </c>
      <c r="F10" s="88">
        <v>8421</v>
      </c>
      <c r="G10" s="91">
        <v>0.18</v>
      </c>
      <c r="H10" s="92">
        <f t="shared" si="0"/>
        <v>16016</v>
      </c>
      <c r="I10" s="93">
        <f t="shared" si="1"/>
        <v>64064</v>
      </c>
      <c r="J10" s="85">
        <v>140</v>
      </c>
      <c r="K10" s="94">
        <v>106</v>
      </c>
      <c r="L10" s="85"/>
    </row>
    <row r="11" spans="1:12" ht="55.2" x14ac:dyDescent="0.3">
      <c r="A11" s="88">
        <v>9</v>
      </c>
      <c r="B11" s="89">
        <v>7000003798</v>
      </c>
      <c r="C11" s="90" t="s">
        <v>271</v>
      </c>
      <c r="D11" s="88" t="s">
        <v>263</v>
      </c>
      <c r="E11" s="88">
        <v>4</v>
      </c>
      <c r="F11" s="88">
        <v>8421</v>
      </c>
      <c r="G11" s="91">
        <v>0.18</v>
      </c>
      <c r="H11" s="92">
        <f t="shared" si="0"/>
        <v>4576</v>
      </c>
      <c r="I11" s="93">
        <f t="shared" si="1"/>
        <v>18304</v>
      </c>
      <c r="J11" s="85">
        <v>40</v>
      </c>
      <c r="K11" s="94">
        <v>19</v>
      </c>
      <c r="L11" s="85"/>
    </row>
    <row r="12" spans="1:12" x14ac:dyDescent="0.3">
      <c r="A12" s="88">
        <v>10</v>
      </c>
      <c r="B12" s="237" t="s">
        <v>98</v>
      </c>
      <c r="C12" s="237"/>
      <c r="D12" s="237"/>
      <c r="E12" s="237"/>
      <c r="F12" s="237"/>
      <c r="G12" s="237"/>
      <c r="H12" s="237"/>
      <c r="I12" s="97">
        <f>SUM(I3:I11)</f>
        <v>538824</v>
      </c>
      <c r="J12" s="85"/>
      <c r="K12" s="85"/>
      <c r="L12" s="85"/>
    </row>
    <row r="13" spans="1:12" x14ac:dyDescent="0.3">
      <c r="A13" s="88">
        <v>11</v>
      </c>
      <c r="B13" s="237" t="s">
        <v>99</v>
      </c>
      <c r="C13" s="237"/>
      <c r="D13" s="237"/>
      <c r="E13" s="237"/>
      <c r="F13" s="237"/>
      <c r="G13" s="237"/>
      <c r="H13" s="237"/>
      <c r="I13" s="97">
        <f>I12*18%</f>
        <v>96988.319999999992</v>
      </c>
      <c r="J13" s="85"/>
      <c r="K13" s="85"/>
      <c r="L13" s="85"/>
    </row>
    <row r="14" spans="1:12" ht="14.4" thickBot="1" x14ac:dyDescent="0.35">
      <c r="A14" s="88">
        <v>12</v>
      </c>
      <c r="B14" s="237" t="s">
        <v>9</v>
      </c>
      <c r="C14" s="237"/>
      <c r="D14" s="237"/>
      <c r="E14" s="237"/>
      <c r="F14" s="237"/>
      <c r="G14" s="237"/>
      <c r="H14" s="237"/>
      <c r="I14" s="97">
        <f>I12+I13</f>
        <v>635812.31999999995</v>
      </c>
      <c r="J14" s="85"/>
      <c r="K14" s="85"/>
      <c r="L14" s="85"/>
    </row>
    <row r="15" spans="1:12" x14ac:dyDescent="0.3">
      <c r="A15" s="98"/>
      <c r="B15" s="238"/>
      <c r="C15" s="238"/>
      <c r="D15" s="238"/>
      <c r="E15" s="238"/>
      <c r="F15" s="238"/>
      <c r="G15" s="238"/>
      <c r="H15" s="238"/>
      <c r="I15" s="239"/>
      <c r="J15" s="99"/>
      <c r="K15" s="85"/>
      <c r="L15" s="85"/>
    </row>
    <row r="16" spans="1:12" s="95" customFormat="1" x14ac:dyDescent="0.3">
      <c r="A16" s="240" t="s">
        <v>12</v>
      </c>
      <c r="B16" s="241"/>
      <c r="C16" s="241"/>
      <c r="D16" s="241"/>
      <c r="E16" s="241"/>
      <c r="F16" s="241"/>
      <c r="G16" s="241"/>
      <c r="H16" s="241"/>
      <c r="I16" s="242"/>
      <c r="J16" s="100"/>
      <c r="K16" s="85"/>
    </row>
    <row r="17" spans="1:9" s="95" customFormat="1" ht="124.2" x14ac:dyDescent="0.3">
      <c r="A17" s="101" t="s">
        <v>13</v>
      </c>
      <c r="B17" s="232" t="s">
        <v>272</v>
      </c>
      <c r="C17" s="232"/>
      <c r="D17" s="232"/>
      <c r="E17" s="232"/>
      <c r="F17" s="232"/>
      <c r="G17" s="232"/>
      <c r="H17" s="232"/>
      <c r="I17" s="233"/>
    </row>
  </sheetData>
  <mergeCells count="7">
    <mergeCell ref="B17:I17"/>
    <mergeCell ref="A1:E1"/>
    <mergeCell ref="B12:H12"/>
    <mergeCell ref="B13:H13"/>
    <mergeCell ref="B14:H14"/>
    <mergeCell ref="B15:I15"/>
    <mergeCell ref="A16:I16"/>
  </mergeCells>
  <hyperlinks>
    <hyperlink ref="B16" r:id="rId1" display="CST@2%" xr:uid="{00000000-0004-0000-20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9"/>
  <sheetViews>
    <sheetView workbookViewId="0">
      <selection activeCell="B9" sqref="B9:I9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57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261</v>
      </c>
      <c r="L2" s="80" t="s">
        <v>153</v>
      </c>
    </row>
    <row r="3" spans="1:12" ht="55.2" x14ac:dyDescent="0.3">
      <c r="A3" s="88">
        <v>1</v>
      </c>
      <c r="B3" s="89">
        <v>4000009649</v>
      </c>
      <c r="C3" s="90" t="s">
        <v>273</v>
      </c>
      <c r="D3" s="88" t="s">
        <v>263</v>
      </c>
      <c r="E3" s="88">
        <v>6</v>
      </c>
      <c r="F3" s="88">
        <v>8421</v>
      </c>
      <c r="G3" s="91">
        <v>0.18</v>
      </c>
      <c r="H3" s="92">
        <f t="shared" ref="H3" si="0">J3*88*1.3</f>
        <v>10296</v>
      </c>
      <c r="I3" s="93">
        <f t="shared" ref="I3" si="1">H3*E3</f>
        <v>61776</v>
      </c>
      <c r="J3" s="85">
        <v>90</v>
      </c>
      <c r="K3" s="94">
        <v>50</v>
      </c>
      <c r="L3" s="85"/>
    </row>
    <row r="4" spans="1:12" x14ac:dyDescent="0.3">
      <c r="A4" s="88">
        <v>2</v>
      </c>
      <c r="B4" s="237" t="s">
        <v>98</v>
      </c>
      <c r="C4" s="237"/>
      <c r="D4" s="237"/>
      <c r="E4" s="237"/>
      <c r="F4" s="237"/>
      <c r="G4" s="237"/>
      <c r="H4" s="237"/>
      <c r="I4" s="97">
        <f>SUM(I3:I3)</f>
        <v>61776</v>
      </c>
      <c r="J4" s="85"/>
      <c r="K4" s="85"/>
      <c r="L4" s="85"/>
    </row>
    <row r="5" spans="1:12" x14ac:dyDescent="0.3">
      <c r="A5" s="88">
        <v>3</v>
      </c>
      <c r="B5" s="237" t="s">
        <v>99</v>
      </c>
      <c r="C5" s="237"/>
      <c r="D5" s="237"/>
      <c r="E5" s="237"/>
      <c r="F5" s="237"/>
      <c r="G5" s="237"/>
      <c r="H5" s="237"/>
      <c r="I5" s="97">
        <f>I4*18%</f>
        <v>11119.68</v>
      </c>
      <c r="J5" s="85"/>
      <c r="K5" s="85"/>
      <c r="L5" s="85"/>
    </row>
    <row r="6" spans="1:12" ht="14.4" thickBot="1" x14ac:dyDescent="0.35">
      <c r="A6" s="88">
        <v>4</v>
      </c>
      <c r="B6" s="237" t="s">
        <v>9</v>
      </c>
      <c r="C6" s="237"/>
      <c r="D6" s="237"/>
      <c r="E6" s="237"/>
      <c r="F6" s="237"/>
      <c r="G6" s="237"/>
      <c r="H6" s="237"/>
      <c r="I6" s="97">
        <f>I4+I5</f>
        <v>72895.679999999993</v>
      </c>
      <c r="J6" s="85"/>
      <c r="K6" s="85"/>
      <c r="L6" s="85"/>
    </row>
    <row r="7" spans="1:12" x14ac:dyDescent="0.3">
      <c r="A7" s="98"/>
      <c r="B7" s="238"/>
      <c r="C7" s="238"/>
      <c r="D7" s="238"/>
      <c r="E7" s="238"/>
      <c r="F7" s="238"/>
      <c r="G7" s="238"/>
      <c r="H7" s="238"/>
      <c r="I7" s="239"/>
      <c r="J7" s="99"/>
      <c r="K7" s="85"/>
      <c r="L7" s="85"/>
    </row>
    <row r="8" spans="1:12" s="95" customFormat="1" x14ac:dyDescent="0.3">
      <c r="A8" s="240" t="s">
        <v>12</v>
      </c>
      <c r="B8" s="241"/>
      <c r="C8" s="241"/>
      <c r="D8" s="241"/>
      <c r="E8" s="241"/>
      <c r="F8" s="241"/>
      <c r="G8" s="241"/>
      <c r="H8" s="241"/>
      <c r="I8" s="242"/>
      <c r="J8" s="100"/>
      <c r="K8" s="85"/>
    </row>
    <row r="9" spans="1:12" s="95" customFormat="1" ht="124.2" x14ac:dyDescent="0.3">
      <c r="A9" s="101" t="s">
        <v>13</v>
      </c>
      <c r="B9" s="232" t="s">
        <v>272</v>
      </c>
      <c r="C9" s="232"/>
      <c r="D9" s="232"/>
      <c r="E9" s="232"/>
      <c r="F9" s="232"/>
      <c r="G9" s="232"/>
      <c r="H9" s="232"/>
      <c r="I9" s="233"/>
      <c r="J9" s="102"/>
      <c r="K9" s="85"/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21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10"/>
  <sheetViews>
    <sheetView topLeftCell="B2" workbookViewId="0">
      <selection activeCell="C4" sqref="C4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57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261</v>
      </c>
      <c r="L2" s="80" t="s">
        <v>153</v>
      </c>
    </row>
    <row r="3" spans="1:12" ht="69" x14ac:dyDescent="0.3">
      <c r="A3" s="88">
        <v>1</v>
      </c>
      <c r="B3" s="89" t="s">
        <v>212</v>
      </c>
      <c r="C3" s="90" t="s">
        <v>274</v>
      </c>
      <c r="D3" s="88" t="s">
        <v>263</v>
      </c>
      <c r="E3" s="88">
        <v>4</v>
      </c>
      <c r="F3" s="88">
        <v>4016</v>
      </c>
      <c r="G3" s="91">
        <v>0.18</v>
      </c>
      <c r="H3" s="92">
        <f t="shared" ref="H3" si="0">J3*88*1.3</f>
        <v>28600</v>
      </c>
      <c r="I3" s="93">
        <f t="shared" ref="I3" si="1">H3*E3</f>
        <v>114400</v>
      </c>
      <c r="J3" s="85">
        <v>250</v>
      </c>
      <c r="K3" s="94">
        <v>250</v>
      </c>
      <c r="L3" s="85">
        <v>25</v>
      </c>
    </row>
    <row r="4" spans="1:12" ht="69" x14ac:dyDescent="0.3">
      <c r="A4" s="88">
        <v>2</v>
      </c>
      <c r="B4" s="89" t="s">
        <v>212</v>
      </c>
      <c r="C4" s="90" t="s">
        <v>275</v>
      </c>
      <c r="D4" s="88" t="s">
        <v>263</v>
      </c>
      <c r="E4" s="88">
        <v>4</v>
      </c>
      <c r="F4" s="88">
        <v>4016</v>
      </c>
      <c r="G4" s="91">
        <v>0.18</v>
      </c>
      <c r="H4" s="92">
        <f t="shared" ref="H4" si="2">J4*88*1.3</f>
        <v>40040</v>
      </c>
      <c r="I4" s="93">
        <f t="shared" ref="I4" si="3">H4*E4</f>
        <v>160160</v>
      </c>
      <c r="J4" s="85">
        <v>350</v>
      </c>
      <c r="K4" s="94">
        <v>670</v>
      </c>
      <c r="L4" s="85">
        <v>66</v>
      </c>
    </row>
    <row r="5" spans="1:12" x14ac:dyDescent="0.3">
      <c r="A5" s="88">
        <v>3</v>
      </c>
      <c r="B5" s="237" t="s">
        <v>98</v>
      </c>
      <c r="C5" s="237"/>
      <c r="D5" s="237"/>
      <c r="E5" s="237"/>
      <c r="F5" s="237"/>
      <c r="G5" s="237"/>
      <c r="H5" s="237"/>
      <c r="I5" s="97">
        <f>SUM(I3:I4)</f>
        <v>274560</v>
      </c>
      <c r="J5" s="85"/>
      <c r="K5" s="85"/>
      <c r="L5" s="85"/>
    </row>
    <row r="6" spans="1:12" x14ac:dyDescent="0.3">
      <c r="A6" s="88">
        <v>4</v>
      </c>
      <c r="B6" s="237" t="s">
        <v>99</v>
      </c>
      <c r="C6" s="237"/>
      <c r="D6" s="237"/>
      <c r="E6" s="237"/>
      <c r="F6" s="237"/>
      <c r="G6" s="237"/>
      <c r="H6" s="237"/>
      <c r="I6" s="97">
        <f>I5*18%</f>
        <v>49420.799999999996</v>
      </c>
      <c r="J6" s="85"/>
      <c r="K6" s="85"/>
      <c r="L6" s="85"/>
    </row>
    <row r="7" spans="1:12" ht="14.4" thickBot="1" x14ac:dyDescent="0.35">
      <c r="A7" s="88">
        <v>5</v>
      </c>
      <c r="B7" s="237" t="s">
        <v>9</v>
      </c>
      <c r="C7" s="237"/>
      <c r="D7" s="237"/>
      <c r="E7" s="237"/>
      <c r="F7" s="237"/>
      <c r="G7" s="237"/>
      <c r="H7" s="237"/>
      <c r="I7" s="97">
        <f>I5+I6</f>
        <v>323980.79999999999</v>
      </c>
      <c r="J7" s="85"/>
      <c r="K7" s="85"/>
      <c r="L7" s="85"/>
    </row>
    <row r="8" spans="1:12" x14ac:dyDescent="0.3">
      <c r="A8" s="98"/>
      <c r="B8" s="238"/>
      <c r="C8" s="238"/>
      <c r="D8" s="238"/>
      <c r="E8" s="238"/>
      <c r="F8" s="238"/>
      <c r="G8" s="238"/>
      <c r="H8" s="238"/>
      <c r="I8" s="239"/>
      <c r="J8" s="99"/>
      <c r="K8" s="85"/>
      <c r="L8" s="85"/>
    </row>
    <row r="9" spans="1:12" s="95" customFormat="1" x14ac:dyDescent="0.3">
      <c r="A9" s="240" t="s">
        <v>12</v>
      </c>
      <c r="B9" s="241"/>
      <c r="C9" s="241"/>
      <c r="D9" s="241"/>
      <c r="E9" s="241"/>
      <c r="F9" s="241"/>
      <c r="G9" s="241"/>
      <c r="H9" s="241"/>
      <c r="I9" s="242"/>
      <c r="J9" s="100"/>
      <c r="K9" s="85"/>
    </row>
    <row r="10" spans="1:12" s="95" customFormat="1" ht="124.2" x14ac:dyDescent="0.3">
      <c r="A10" s="101" t="s">
        <v>13</v>
      </c>
      <c r="B10" s="232" t="s">
        <v>272</v>
      </c>
      <c r="C10" s="232"/>
      <c r="D10" s="232"/>
      <c r="E10" s="232"/>
      <c r="F10" s="232"/>
      <c r="G10" s="232"/>
      <c r="H10" s="232"/>
      <c r="I10" s="233"/>
      <c r="J10" s="102"/>
      <c r="K10" s="85"/>
    </row>
  </sheetData>
  <mergeCells count="7">
    <mergeCell ref="B10:I10"/>
    <mergeCell ref="A1:E1"/>
    <mergeCell ref="B5:H5"/>
    <mergeCell ref="B6:H6"/>
    <mergeCell ref="B7:H7"/>
    <mergeCell ref="B8:I8"/>
    <mergeCell ref="A9:I9"/>
  </mergeCells>
  <hyperlinks>
    <hyperlink ref="B9" r:id="rId1" display="CST@2%" xr:uid="{00000000-0004-0000-22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10"/>
  <sheetViews>
    <sheetView topLeftCell="A2" workbookViewId="0">
      <selection activeCell="G4" sqref="G4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57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261</v>
      </c>
      <c r="L2" s="80" t="s">
        <v>153</v>
      </c>
    </row>
    <row r="3" spans="1:12" ht="55.2" x14ac:dyDescent="0.3">
      <c r="A3" s="88">
        <v>1</v>
      </c>
      <c r="B3" s="89">
        <v>4000009136</v>
      </c>
      <c r="C3" s="90" t="s">
        <v>276</v>
      </c>
      <c r="D3" s="88" t="s">
        <v>263</v>
      </c>
      <c r="E3" s="88">
        <v>300</v>
      </c>
      <c r="F3" s="88">
        <v>8503</v>
      </c>
      <c r="G3" s="91">
        <v>0.18</v>
      </c>
      <c r="H3" s="92">
        <f>J3*85*1.3</f>
        <v>3536</v>
      </c>
      <c r="I3" s="93">
        <f t="shared" ref="I3:I4" si="0">H3*E3</f>
        <v>1060800</v>
      </c>
      <c r="J3" s="85">
        <v>32</v>
      </c>
      <c r="K3" s="94"/>
      <c r="L3" s="85">
        <v>32</v>
      </c>
    </row>
    <row r="4" spans="1:12" ht="41.4" x14ac:dyDescent="0.3">
      <c r="A4" s="88">
        <v>2</v>
      </c>
      <c r="B4" s="89">
        <v>4000009600</v>
      </c>
      <c r="C4" s="90" t="s">
        <v>277</v>
      </c>
      <c r="D4" s="88" t="s">
        <v>263</v>
      </c>
      <c r="E4" s="88">
        <v>10</v>
      </c>
      <c r="F4" s="88">
        <v>8503</v>
      </c>
      <c r="G4" s="91">
        <v>0.18</v>
      </c>
      <c r="H4" s="92">
        <f>J4*86*1.3</f>
        <v>49192</v>
      </c>
      <c r="I4" s="93">
        <f t="shared" si="0"/>
        <v>491920</v>
      </c>
      <c r="J4" s="85">
        <v>440</v>
      </c>
      <c r="K4" s="94"/>
      <c r="L4" s="85">
        <v>410</v>
      </c>
    </row>
    <row r="5" spans="1:12" x14ac:dyDescent="0.3">
      <c r="A5" s="88">
        <v>3</v>
      </c>
      <c r="B5" s="237" t="s">
        <v>98</v>
      </c>
      <c r="C5" s="237"/>
      <c r="D5" s="237"/>
      <c r="E5" s="237"/>
      <c r="F5" s="237"/>
      <c r="G5" s="237"/>
      <c r="H5" s="237"/>
      <c r="I5" s="97">
        <f>SUM(I3:I4)</f>
        <v>1552720</v>
      </c>
      <c r="J5" s="85"/>
      <c r="K5" s="85"/>
      <c r="L5" s="85"/>
    </row>
    <row r="6" spans="1:12" x14ac:dyDescent="0.3">
      <c r="A6" s="88">
        <v>4</v>
      </c>
      <c r="B6" s="237" t="s">
        <v>99</v>
      </c>
      <c r="C6" s="237"/>
      <c r="D6" s="237"/>
      <c r="E6" s="237"/>
      <c r="F6" s="237"/>
      <c r="G6" s="237"/>
      <c r="H6" s="237"/>
      <c r="I6" s="97">
        <f>I5*18%</f>
        <v>279489.59999999998</v>
      </c>
      <c r="J6" s="85"/>
      <c r="K6" s="85"/>
      <c r="L6" s="85"/>
    </row>
    <row r="7" spans="1:12" ht="14.4" thickBot="1" x14ac:dyDescent="0.35">
      <c r="A7" s="88">
        <v>5</v>
      </c>
      <c r="B7" s="237" t="s">
        <v>9</v>
      </c>
      <c r="C7" s="237"/>
      <c r="D7" s="237"/>
      <c r="E7" s="237"/>
      <c r="F7" s="237"/>
      <c r="G7" s="237"/>
      <c r="H7" s="237"/>
      <c r="I7" s="97">
        <f>I5+I6</f>
        <v>1832209.6</v>
      </c>
      <c r="J7" s="85"/>
      <c r="K7" s="85"/>
      <c r="L7" s="85"/>
    </row>
    <row r="8" spans="1:12" x14ac:dyDescent="0.3">
      <c r="A8" s="98"/>
      <c r="B8" s="238"/>
      <c r="C8" s="238"/>
      <c r="D8" s="238"/>
      <c r="E8" s="238"/>
      <c r="F8" s="238"/>
      <c r="G8" s="238"/>
      <c r="H8" s="238"/>
      <c r="I8" s="239"/>
      <c r="J8" s="99"/>
      <c r="K8" s="85"/>
      <c r="L8" s="85"/>
    </row>
    <row r="9" spans="1:12" s="95" customFormat="1" x14ac:dyDescent="0.3">
      <c r="A9" s="240" t="s">
        <v>12</v>
      </c>
      <c r="B9" s="241"/>
      <c r="C9" s="241"/>
      <c r="D9" s="241"/>
      <c r="E9" s="241"/>
      <c r="F9" s="241"/>
      <c r="G9" s="241"/>
      <c r="H9" s="241"/>
      <c r="I9" s="242"/>
      <c r="J9" s="100"/>
      <c r="K9" s="85"/>
    </row>
    <row r="10" spans="1:12" s="95" customFormat="1" ht="124.2" x14ac:dyDescent="0.3">
      <c r="A10" s="101" t="s">
        <v>13</v>
      </c>
      <c r="B10" s="232" t="s">
        <v>272</v>
      </c>
      <c r="C10" s="232"/>
      <c r="D10" s="232"/>
      <c r="E10" s="232"/>
      <c r="F10" s="232"/>
      <c r="G10" s="232"/>
      <c r="H10" s="232"/>
      <c r="I10" s="233"/>
      <c r="J10" s="102"/>
      <c r="K10" s="85"/>
    </row>
  </sheetData>
  <mergeCells count="7">
    <mergeCell ref="B10:I10"/>
    <mergeCell ref="A1:E1"/>
    <mergeCell ref="B5:H5"/>
    <mergeCell ref="B6:H6"/>
    <mergeCell ref="B7:H7"/>
    <mergeCell ref="B8:I8"/>
    <mergeCell ref="A9:I9"/>
  </mergeCells>
  <hyperlinks>
    <hyperlink ref="B9" r:id="rId1" display="CST@2%" xr:uid="{00000000-0004-0000-23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10"/>
  <sheetViews>
    <sheetView workbookViewId="0">
      <selection sqref="A1:E1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31.4414062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60</v>
      </c>
      <c r="L2" s="80" t="s">
        <v>153</v>
      </c>
    </row>
    <row r="3" spans="1:12" ht="82.8" x14ac:dyDescent="0.3">
      <c r="A3" s="88">
        <v>1</v>
      </c>
      <c r="B3" s="88">
        <v>4000017905</v>
      </c>
      <c r="C3" s="90" t="s">
        <v>278</v>
      </c>
      <c r="D3" s="88" t="s">
        <v>263</v>
      </c>
      <c r="E3" s="88">
        <v>2</v>
      </c>
      <c r="F3" s="88">
        <v>8503</v>
      </c>
      <c r="G3" s="91">
        <v>0.18</v>
      </c>
      <c r="H3" s="92">
        <f>J3*88*1.33</f>
        <v>19896.8</v>
      </c>
      <c r="I3" s="93">
        <f t="shared" ref="I3:I4" si="0">H3*E3</f>
        <v>39793.599999999999</v>
      </c>
      <c r="J3" s="85">
        <v>170</v>
      </c>
      <c r="K3" s="94">
        <v>165</v>
      </c>
      <c r="L3" s="85">
        <v>110</v>
      </c>
    </row>
    <row r="4" spans="1:12" ht="27.6" x14ac:dyDescent="0.3">
      <c r="A4" s="88">
        <v>2</v>
      </c>
      <c r="B4" s="88">
        <v>4000012174</v>
      </c>
      <c r="C4" s="90" t="s">
        <v>279</v>
      </c>
      <c r="D4" s="88" t="s">
        <v>263</v>
      </c>
      <c r="E4" s="88">
        <v>1</v>
      </c>
      <c r="F4" s="88">
        <v>8503</v>
      </c>
      <c r="G4" s="91">
        <v>0.18</v>
      </c>
      <c r="H4" s="92">
        <f>J4*88*1.33</f>
        <v>152152</v>
      </c>
      <c r="I4" s="93">
        <f t="shared" si="0"/>
        <v>152152</v>
      </c>
      <c r="J4" s="85">
        <v>1300</v>
      </c>
      <c r="K4" s="94">
        <v>1250</v>
      </c>
      <c r="L4" s="85">
        <v>710</v>
      </c>
    </row>
    <row r="5" spans="1:12" x14ac:dyDescent="0.3">
      <c r="A5" s="88">
        <v>3</v>
      </c>
      <c r="B5" s="237" t="s">
        <v>98</v>
      </c>
      <c r="C5" s="237"/>
      <c r="D5" s="237"/>
      <c r="E5" s="237"/>
      <c r="F5" s="237"/>
      <c r="G5" s="237"/>
      <c r="H5" s="237"/>
      <c r="I5" s="97">
        <f>SUM(I3:I4)</f>
        <v>191945.60000000001</v>
      </c>
      <c r="J5" s="85"/>
      <c r="K5" s="85"/>
      <c r="L5" s="85"/>
    </row>
    <row r="6" spans="1:12" x14ac:dyDescent="0.3">
      <c r="A6" s="88">
        <v>4</v>
      </c>
      <c r="B6" s="237" t="s">
        <v>99</v>
      </c>
      <c r="C6" s="237"/>
      <c r="D6" s="237"/>
      <c r="E6" s="237"/>
      <c r="F6" s="237"/>
      <c r="G6" s="237"/>
      <c r="H6" s="237"/>
      <c r="I6" s="97">
        <f>I5*18%</f>
        <v>34550.207999999999</v>
      </c>
      <c r="J6" s="85"/>
      <c r="K6" s="85"/>
      <c r="L6" s="85"/>
    </row>
    <row r="7" spans="1:12" ht="14.4" thickBot="1" x14ac:dyDescent="0.35">
      <c r="A7" s="88">
        <v>5</v>
      </c>
      <c r="B7" s="237" t="s">
        <v>9</v>
      </c>
      <c r="C7" s="237"/>
      <c r="D7" s="237"/>
      <c r="E7" s="237"/>
      <c r="F7" s="237"/>
      <c r="G7" s="237"/>
      <c r="H7" s="237"/>
      <c r="I7" s="97">
        <f>I5+I6</f>
        <v>226495.80800000002</v>
      </c>
      <c r="J7" s="85"/>
      <c r="K7" s="85"/>
      <c r="L7" s="85"/>
    </row>
    <row r="8" spans="1:12" x14ac:dyDescent="0.3">
      <c r="A8" s="98"/>
      <c r="B8" s="238"/>
      <c r="C8" s="238"/>
      <c r="D8" s="238"/>
      <c r="E8" s="238"/>
      <c r="F8" s="238"/>
      <c r="G8" s="238"/>
      <c r="H8" s="238"/>
      <c r="I8" s="239"/>
      <c r="J8" s="99"/>
      <c r="K8" s="85"/>
      <c r="L8" s="85"/>
    </row>
    <row r="9" spans="1:12" s="95" customFormat="1" x14ac:dyDescent="0.3">
      <c r="A9" s="240" t="s">
        <v>12</v>
      </c>
      <c r="B9" s="241"/>
      <c r="C9" s="241"/>
      <c r="D9" s="241"/>
      <c r="E9" s="241"/>
      <c r="F9" s="241"/>
      <c r="G9" s="241"/>
      <c r="H9" s="241"/>
      <c r="I9" s="242"/>
      <c r="J9" s="100"/>
      <c r="K9" s="85"/>
    </row>
    <row r="10" spans="1:12" s="95" customFormat="1" ht="124.2" x14ac:dyDescent="0.3">
      <c r="A10" s="101" t="s">
        <v>13</v>
      </c>
      <c r="B10" s="232" t="s">
        <v>272</v>
      </c>
      <c r="C10" s="232"/>
      <c r="D10" s="232"/>
      <c r="E10" s="232"/>
      <c r="F10" s="232"/>
      <c r="G10" s="232"/>
      <c r="H10" s="232"/>
      <c r="I10" s="233"/>
      <c r="J10" s="102"/>
      <c r="K10" s="85"/>
    </row>
  </sheetData>
  <mergeCells count="7">
    <mergeCell ref="B10:I10"/>
    <mergeCell ref="A1:E1"/>
    <mergeCell ref="B5:H5"/>
    <mergeCell ref="B6:H6"/>
    <mergeCell ref="B7:H7"/>
    <mergeCell ref="B8:I8"/>
    <mergeCell ref="A9:I9"/>
  </mergeCells>
  <hyperlinks>
    <hyperlink ref="B9" r:id="rId1" display="CST@2%" xr:uid="{00000000-0004-0000-24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9"/>
  <sheetViews>
    <sheetView workbookViewId="0">
      <selection activeCell="K4" sqref="K4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31.4414062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60</v>
      </c>
      <c r="L2" s="80" t="s">
        <v>153</v>
      </c>
    </row>
    <row r="3" spans="1:12" ht="96.6" x14ac:dyDescent="0.3">
      <c r="A3" s="88">
        <v>1</v>
      </c>
      <c r="B3" s="88">
        <v>4000018061</v>
      </c>
      <c r="C3" s="90" t="s">
        <v>280</v>
      </c>
      <c r="D3" s="88" t="s">
        <v>127</v>
      </c>
      <c r="E3" s="88">
        <v>2</v>
      </c>
      <c r="F3" s="88">
        <v>8421</v>
      </c>
      <c r="G3" s="91">
        <v>0.18</v>
      </c>
      <c r="H3" s="92">
        <f>J3*88*1.33</f>
        <v>175560</v>
      </c>
      <c r="I3" s="93">
        <f t="shared" ref="I3" si="0">H3*E3</f>
        <v>351120</v>
      </c>
      <c r="J3" s="85">
        <v>1500</v>
      </c>
      <c r="K3" s="94">
        <v>1514</v>
      </c>
      <c r="L3" s="85">
        <v>1335</v>
      </c>
    </row>
    <row r="4" spans="1:12" x14ac:dyDescent="0.3">
      <c r="A4" s="88">
        <v>2</v>
      </c>
      <c r="B4" s="237" t="s">
        <v>98</v>
      </c>
      <c r="C4" s="237"/>
      <c r="D4" s="237"/>
      <c r="E4" s="237"/>
      <c r="F4" s="237"/>
      <c r="G4" s="237"/>
      <c r="H4" s="237"/>
      <c r="I4" s="97">
        <f>SUM(I3:I3)</f>
        <v>351120</v>
      </c>
      <c r="J4" s="85"/>
      <c r="K4" s="85"/>
      <c r="L4" s="85"/>
    </row>
    <row r="5" spans="1:12" x14ac:dyDescent="0.3">
      <c r="A5" s="88">
        <v>3</v>
      </c>
      <c r="B5" s="237" t="s">
        <v>99</v>
      </c>
      <c r="C5" s="237"/>
      <c r="D5" s="237"/>
      <c r="E5" s="237"/>
      <c r="F5" s="237"/>
      <c r="G5" s="237"/>
      <c r="H5" s="237"/>
      <c r="I5" s="97">
        <f>I4*18%</f>
        <v>63201.599999999999</v>
      </c>
      <c r="J5" s="85"/>
      <c r="K5" s="85"/>
      <c r="L5" s="85"/>
    </row>
    <row r="6" spans="1:12" ht="14.4" thickBot="1" x14ac:dyDescent="0.35">
      <c r="A6" s="88">
        <v>4</v>
      </c>
      <c r="B6" s="237" t="s">
        <v>9</v>
      </c>
      <c r="C6" s="237"/>
      <c r="D6" s="237"/>
      <c r="E6" s="237"/>
      <c r="F6" s="237"/>
      <c r="G6" s="237"/>
      <c r="H6" s="237"/>
      <c r="I6" s="97">
        <f>I4+I5</f>
        <v>414321.6</v>
      </c>
      <c r="J6" s="85"/>
      <c r="K6" s="85"/>
      <c r="L6" s="85"/>
    </row>
    <row r="7" spans="1:12" x14ac:dyDescent="0.3">
      <c r="A7" s="98"/>
      <c r="B7" s="238"/>
      <c r="C7" s="238"/>
      <c r="D7" s="238"/>
      <c r="E7" s="238"/>
      <c r="F7" s="238"/>
      <c r="G7" s="238"/>
      <c r="H7" s="238"/>
      <c r="I7" s="239"/>
      <c r="J7" s="99"/>
      <c r="K7" s="85"/>
      <c r="L7" s="85"/>
    </row>
    <row r="8" spans="1:12" s="95" customFormat="1" x14ac:dyDescent="0.3">
      <c r="A8" s="240" t="s">
        <v>12</v>
      </c>
      <c r="B8" s="241"/>
      <c r="C8" s="241"/>
      <c r="D8" s="241"/>
      <c r="E8" s="241"/>
      <c r="F8" s="241"/>
      <c r="G8" s="241"/>
      <c r="H8" s="241"/>
      <c r="I8" s="242"/>
      <c r="J8" s="100"/>
      <c r="K8" s="85"/>
    </row>
    <row r="9" spans="1:12" s="95" customFormat="1" ht="124.2" x14ac:dyDescent="0.3">
      <c r="A9" s="101" t="s">
        <v>13</v>
      </c>
      <c r="B9" s="232" t="s">
        <v>272</v>
      </c>
      <c r="C9" s="232"/>
      <c r="D9" s="232"/>
      <c r="E9" s="232"/>
      <c r="F9" s="232"/>
      <c r="G9" s="232"/>
      <c r="H9" s="232"/>
      <c r="I9" s="233"/>
      <c r="J9" s="102"/>
      <c r="K9" s="85"/>
    </row>
  </sheetData>
  <mergeCells count="7">
    <mergeCell ref="B9:I9"/>
    <mergeCell ref="A1:E1"/>
    <mergeCell ref="B4:H4"/>
    <mergeCell ref="B5:H5"/>
    <mergeCell ref="B6:H6"/>
    <mergeCell ref="B7:I7"/>
    <mergeCell ref="A8:I8"/>
  </mergeCells>
  <hyperlinks>
    <hyperlink ref="B8" r:id="rId1" display="CST@2%" xr:uid="{00000000-0004-0000-25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10"/>
  <sheetViews>
    <sheetView topLeftCell="A5" workbookViewId="0">
      <selection activeCell="A2" sqref="A2:I10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31.4414062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261</v>
      </c>
      <c r="L2" s="80" t="s">
        <v>153</v>
      </c>
    </row>
    <row r="3" spans="1:12" ht="82.8" x14ac:dyDescent="0.3">
      <c r="A3" s="88">
        <v>1</v>
      </c>
      <c r="B3" s="88" t="s">
        <v>212</v>
      </c>
      <c r="C3" s="90" t="s">
        <v>281</v>
      </c>
      <c r="D3" s="88" t="s">
        <v>263</v>
      </c>
      <c r="E3" s="88">
        <v>24</v>
      </c>
      <c r="F3" s="88">
        <v>8503</v>
      </c>
      <c r="G3" s="91">
        <v>0.18</v>
      </c>
      <c r="H3" s="92">
        <f>J3*88*1.33</f>
        <v>14044.800000000001</v>
      </c>
      <c r="I3" s="93">
        <f t="shared" ref="I3" si="0">H3*E3</f>
        <v>337075.20000000001</v>
      </c>
      <c r="J3" s="85">
        <v>120</v>
      </c>
      <c r="K3" s="94">
        <v>80</v>
      </c>
      <c r="L3" s="85"/>
    </row>
    <row r="4" spans="1:12" ht="82.8" x14ac:dyDescent="0.3">
      <c r="A4" s="88">
        <v>2</v>
      </c>
      <c r="B4" s="88" t="s">
        <v>212</v>
      </c>
      <c r="C4" s="90" t="s">
        <v>282</v>
      </c>
      <c r="D4" s="88" t="s">
        <v>263</v>
      </c>
      <c r="E4" s="88">
        <v>36</v>
      </c>
      <c r="F4" s="88">
        <v>8503</v>
      </c>
      <c r="G4" s="91">
        <v>0.18</v>
      </c>
      <c r="H4" s="92">
        <f>J4*88*1.33</f>
        <v>8192.8000000000011</v>
      </c>
      <c r="I4" s="93">
        <f t="shared" ref="I4" si="1">H4*E4</f>
        <v>294940.80000000005</v>
      </c>
      <c r="J4" s="85">
        <v>70</v>
      </c>
      <c r="K4" s="94">
        <v>40</v>
      </c>
      <c r="L4" s="85"/>
    </row>
    <row r="5" spans="1:12" x14ac:dyDescent="0.3">
      <c r="A5" s="88">
        <v>3</v>
      </c>
      <c r="B5" s="237" t="s">
        <v>98</v>
      </c>
      <c r="C5" s="237"/>
      <c r="D5" s="237"/>
      <c r="E5" s="237"/>
      <c r="F5" s="237"/>
      <c r="G5" s="237"/>
      <c r="H5" s="237"/>
      <c r="I5" s="97">
        <f>SUM(I2:I4)</f>
        <v>632016</v>
      </c>
      <c r="J5" s="85"/>
      <c r="K5" s="85"/>
      <c r="L5" s="85"/>
    </row>
    <row r="6" spans="1:12" x14ac:dyDescent="0.3">
      <c r="A6" s="88">
        <v>4</v>
      </c>
      <c r="B6" s="237" t="s">
        <v>99</v>
      </c>
      <c r="C6" s="237"/>
      <c r="D6" s="237"/>
      <c r="E6" s="237"/>
      <c r="F6" s="237"/>
      <c r="G6" s="237"/>
      <c r="H6" s="237"/>
      <c r="I6" s="97">
        <f>I5*18%</f>
        <v>113762.87999999999</v>
      </c>
      <c r="J6" s="85"/>
      <c r="K6" s="85"/>
      <c r="L6" s="85"/>
    </row>
    <row r="7" spans="1:12" ht="14.4" thickBot="1" x14ac:dyDescent="0.35">
      <c r="A7" s="88">
        <v>5</v>
      </c>
      <c r="B7" s="237" t="s">
        <v>9</v>
      </c>
      <c r="C7" s="237"/>
      <c r="D7" s="237"/>
      <c r="E7" s="237"/>
      <c r="F7" s="237"/>
      <c r="G7" s="237"/>
      <c r="H7" s="237"/>
      <c r="I7" s="97">
        <f>I5+I6</f>
        <v>745778.88</v>
      </c>
      <c r="J7" s="85"/>
      <c r="K7" s="85"/>
      <c r="L7" s="85"/>
    </row>
    <row r="8" spans="1:12" x14ac:dyDescent="0.3">
      <c r="A8" s="98"/>
      <c r="B8" s="238"/>
      <c r="C8" s="238"/>
      <c r="D8" s="238"/>
      <c r="E8" s="238"/>
      <c r="F8" s="238"/>
      <c r="G8" s="238"/>
      <c r="H8" s="238"/>
      <c r="I8" s="239"/>
      <c r="J8" s="99"/>
      <c r="K8" s="85"/>
      <c r="L8" s="85"/>
    </row>
    <row r="9" spans="1:12" s="95" customFormat="1" x14ac:dyDescent="0.3">
      <c r="A9" s="240" t="s">
        <v>12</v>
      </c>
      <c r="B9" s="241"/>
      <c r="C9" s="241"/>
      <c r="D9" s="241"/>
      <c r="E9" s="241"/>
      <c r="F9" s="241"/>
      <c r="G9" s="241"/>
      <c r="H9" s="241"/>
      <c r="I9" s="242"/>
      <c r="J9" s="100"/>
      <c r="K9" s="85"/>
    </row>
    <row r="10" spans="1:12" s="95" customFormat="1" ht="124.2" x14ac:dyDescent="0.3">
      <c r="A10" s="101" t="s">
        <v>13</v>
      </c>
      <c r="B10" s="232" t="s">
        <v>272</v>
      </c>
      <c r="C10" s="232"/>
      <c r="D10" s="232"/>
      <c r="E10" s="232"/>
      <c r="F10" s="232"/>
      <c r="G10" s="232"/>
      <c r="H10" s="232"/>
      <c r="I10" s="233"/>
      <c r="J10" s="102"/>
      <c r="K10" s="85"/>
    </row>
  </sheetData>
  <mergeCells count="7">
    <mergeCell ref="B10:I10"/>
    <mergeCell ref="A1:E1"/>
    <mergeCell ref="B5:H5"/>
    <mergeCell ref="B6:H6"/>
    <mergeCell ref="B7:H7"/>
    <mergeCell ref="B8:I8"/>
    <mergeCell ref="A9:I9"/>
  </mergeCells>
  <hyperlinks>
    <hyperlink ref="B9" r:id="rId1" display="CST@2%" xr:uid="{00000000-0004-0000-26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10"/>
  <sheetViews>
    <sheetView workbookViewId="0">
      <selection activeCell="A2" sqref="A2:E3"/>
    </sheetView>
  </sheetViews>
  <sheetFormatPr defaultColWidth="9.109375" defaultRowHeight="13.8" x14ac:dyDescent="0.3"/>
  <cols>
    <col min="1" max="1" width="6.109375" style="87" customWidth="1"/>
    <col min="2" max="2" width="12.5546875" style="95" customWidth="1"/>
    <col min="3" max="3" width="31.44140625" style="95" customWidth="1"/>
    <col min="4" max="4" width="5.88671875" style="96" bestFit="1" customWidth="1"/>
    <col min="5" max="5" width="5.33203125" style="96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185</v>
      </c>
      <c r="C2" s="78" t="s">
        <v>182</v>
      </c>
      <c r="D2" s="78" t="s">
        <v>2</v>
      </c>
      <c r="E2" s="78" t="s">
        <v>3</v>
      </c>
      <c r="F2" s="78" t="s">
        <v>4</v>
      </c>
      <c r="G2" s="78" t="s">
        <v>5</v>
      </c>
      <c r="H2" s="78" t="s">
        <v>6</v>
      </c>
      <c r="I2" s="78" t="s">
        <v>154</v>
      </c>
      <c r="J2" s="80" t="s">
        <v>61</v>
      </c>
      <c r="K2" s="80" t="s">
        <v>153</v>
      </c>
      <c r="L2" s="80" t="s">
        <v>153</v>
      </c>
    </row>
    <row r="3" spans="1:12" ht="110.4" x14ac:dyDescent="0.3">
      <c r="A3" s="88">
        <v>1</v>
      </c>
      <c r="B3" s="88">
        <v>4000018147</v>
      </c>
      <c r="C3" s="90" t="s">
        <v>283</v>
      </c>
      <c r="D3" s="88" t="s">
        <v>263</v>
      </c>
      <c r="E3" s="88">
        <v>3</v>
      </c>
      <c r="F3" s="88">
        <v>8481</v>
      </c>
      <c r="G3" s="91">
        <v>0.18</v>
      </c>
      <c r="H3" s="92">
        <f>J3*88*1.3</f>
        <v>27456</v>
      </c>
      <c r="I3" s="93">
        <f t="shared" ref="I3:I4" si="0">H3*E3</f>
        <v>82368</v>
      </c>
      <c r="J3" s="85">
        <v>240</v>
      </c>
      <c r="K3" s="94">
        <v>225</v>
      </c>
      <c r="L3" s="85"/>
    </row>
    <row r="4" spans="1:12" ht="82.8" x14ac:dyDescent="0.3">
      <c r="A4" s="88">
        <v>2</v>
      </c>
      <c r="B4" s="88">
        <v>4000018148</v>
      </c>
      <c r="C4" s="90" t="s">
        <v>284</v>
      </c>
      <c r="D4" s="88" t="s">
        <v>263</v>
      </c>
      <c r="E4" s="88">
        <v>3</v>
      </c>
      <c r="F4" s="88">
        <v>8481</v>
      </c>
      <c r="G4" s="91">
        <v>0.18</v>
      </c>
      <c r="H4" s="92">
        <f>J4*88*1.3</f>
        <v>27456</v>
      </c>
      <c r="I4" s="93">
        <f t="shared" si="0"/>
        <v>82368</v>
      </c>
      <c r="J4" s="85">
        <v>240</v>
      </c>
      <c r="K4" s="94">
        <v>225</v>
      </c>
      <c r="L4" s="85"/>
    </row>
    <row r="5" spans="1:12" x14ac:dyDescent="0.3">
      <c r="A5" s="88">
        <v>3</v>
      </c>
      <c r="B5" s="237" t="s">
        <v>98</v>
      </c>
      <c r="C5" s="237"/>
      <c r="D5" s="237"/>
      <c r="E5" s="237"/>
      <c r="F5" s="237"/>
      <c r="G5" s="237"/>
      <c r="H5" s="237"/>
      <c r="I5" s="97">
        <f>SUM(I2:I4)</f>
        <v>164736</v>
      </c>
      <c r="J5" s="85"/>
      <c r="K5" s="85"/>
      <c r="L5" s="85"/>
    </row>
    <row r="6" spans="1:12" x14ac:dyDescent="0.3">
      <c r="A6" s="88">
        <v>4</v>
      </c>
      <c r="B6" s="237" t="s">
        <v>99</v>
      </c>
      <c r="C6" s="237"/>
      <c r="D6" s="237"/>
      <c r="E6" s="237"/>
      <c r="F6" s="237"/>
      <c r="G6" s="237"/>
      <c r="H6" s="237"/>
      <c r="I6" s="97">
        <f>I5*18%</f>
        <v>29652.48</v>
      </c>
      <c r="J6" s="85"/>
      <c r="K6" s="85"/>
      <c r="L6" s="85"/>
    </row>
    <row r="7" spans="1:12" ht="14.4" thickBot="1" x14ac:dyDescent="0.35">
      <c r="A7" s="88">
        <v>5</v>
      </c>
      <c r="B7" s="237" t="s">
        <v>9</v>
      </c>
      <c r="C7" s="237"/>
      <c r="D7" s="237"/>
      <c r="E7" s="237"/>
      <c r="F7" s="237"/>
      <c r="G7" s="237"/>
      <c r="H7" s="237"/>
      <c r="I7" s="97">
        <f>I5+I6</f>
        <v>194388.48000000001</v>
      </c>
      <c r="J7" s="85"/>
      <c r="K7" s="85"/>
      <c r="L7" s="85"/>
    </row>
    <row r="8" spans="1:12" x14ac:dyDescent="0.3">
      <c r="A8" s="98"/>
      <c r="B8" s="238"/>
      <c r="C8" s="238"/>
      <c r="D8" s="238"/>
      <c r="E8" s="238"/>
      <c r="F8" s="238"/>
      <c r="G8" s="238"/>
      <c r="H8" s="238"/>
      <c r="I8" s="239"/>
      <c r="J8" s="99"/>
      <c r="K8" s="85"/>
      <c r="L8" s="85"/>
    </row>
    <row r="9" spans="1:12" s="95" customFormat="1" x14ac:dyDescent="0.3">
      <c r="A9" s="240" t="s">
        <v>12</v>
      </c>
      <c r="B9" s="241"/>
      <c r="C9" s="241"/>
      <c r="D9" s="241"/>
      <c r="E9" s="241"/>
      <c r="F9" s="241"/>
      <c r="G9" s="241"/>
      <c r="H9" s="241"/>
      <c r="I9" s="242"/>
      <c r="J9" s="100"/>
      <c r="K9" s="85"/>
    </row>
    <row r="10" spans="1:12" s="95" customFormat="1" ht="124.2" x14ac:dyDescent="0.3">
      <c r="A10" s="101" t="s">
        <v>13</v>
      </c>
      <c r="B10" s="232" t="s">
        <v>285</v>
      </c>
      <c r="C10" s="232"/>
      <c r="D10" s="232"/>
      <c r="E10" s="232"/>
      <c r="F10" s="232"/>
      <c r="G10" s="232"/>
      <c r="H10" s="232"/>
      <c r="I10" s="233"/>
      <c r="J10" s="102"/>
      <c r="K10" s="85"/>
    </row>
  </sheetData>
  <mergeCells count="7">
    <mergeCell ref="B10:I10"/>
    <mergeCell ref="A1:E1"/>
    <mergeCell ref="B5:H5"/>
    <mergeCell ref="B6:H6"/>
    <mergeCell ref="B7:H7"/>
    <mergeCell ref="B8:I8"/>
    <mergeCell ref="A9:I9"/>
  </mergeCells>
  <hyperlinks>
    <hyperlink ref="B9" r:id="rId1" display="CST@2%" xr:uid="{00000000-0004-0000-27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28"/>
  <sheetViews>
    <sheetView topLeftCell="A9" workbookViewId="0">
      <selection activeCell="G12" sqref="G12"/>
    </sheetView>
  </sheetViews>
  <sheetFormatPr defaultColWidth="9.109375" defaultRowHeight="13.8" x14ac:dyDescent="0.3"/>
  <cols>
    <col min="1" max="1" width="6.109375" style="87" customWidth="1"/>
    <col min="2" max="2" width="22.6640625" style="95" bestFit="1" customWidth="1"/>
    <col min="3" max="3" width="8" style="95" bestFit="1" customWidth="1"/>
    <col min="4" max="4" width="14.109375" style="96" bestFit="1" customWidth="1"/>
    <col min="5" max="5" width="11.5546875" style="96" bestFit="1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286</v>
      </c>
      <c r="C2" s="78" t="s">
        <v>287</v>
      </c>
      <c r="D2" s="78" t="s">
        <v>288</v>
      </c>
      <c r="E2" s="78" t="s">
        <v>320</v>
      </c>
      <c r="F2" s="78" t="s">
        <v>2</v>
      </c>
      <c r="G2" s="78" t="s">
        <v>3</v>
      </c>
      <c r="H2" s="78" t="s">
        <v>6</v>
      </c>
      <c r="I2" s="78" t="s">
        <v>154</v>
      </c>
      <c r="J2" s="80" t="s">
        <v>61</v>
      </c>
      <c r="K2" s="80" t="s">
        <v>193</v>
      </c>
      <c r="L2" s="80" t="s">
        <v>327</v>
      </c>
    </row>
    <row r="3" spans="1:12" x14ac:dyDescent="0.3">
      <c r="A3" s="88">
        <v>1</v>
      </c>
      <c r="B3" s="88" t="s">
        <v>289</v>
      </c>
      <c r="C3" s="90">
        <v>3</v>
      </c>
      <c r="D3" s="88" t="s">
        <v>290</v>
      </c>
      <c r="E3" s="88" t="s">
        <v>321</v>
      </c>
      <c r="F3" s="88" t="s">
        <v>263</v>
      </c>
      <c r="G3" s="88">
        <v>4</v>
      </c>
      <c r="H3" s="92">
        <f>J3*88*1.6</f>
        <v>2752.6399999999994</v>
      </c>
      <c r="I3" s="93">
        <f>H3*G3</f>
        <v>11010.559999999998</v>
      </c>
      <c r="J3" s="85">
        <f>K3*1.15</f>
        <v>19.549999999999997</v>
      </c>
      <c r="K3" s="94">
        <v>17</v>
      </c>
      <c r="L3" s="85">
        <v>41720</v>
      </c>
    </row>
    <row r="4" spans="1:12" x14ac:dyDescent="0.3">
      <c r="A4" s="88">
        <v>2</v>
      </c>
      <c r="B4" s="88" t="s">
        <v>289</v>
      </c>
      <c r="C4" s="90">
        <v>4</v>
      </c>
      <c r="D4" s="88" t="s">
        <v>291</v>
      </c>
      <c r="E4" s="88" t="s">
        <v>321</v>
      </c>
      <c r="F4" s="88" t="s">
        <v>263</v>
      </c>
      <c r="G4" s="88">
        <v>4</v>
      </c>
      <c r="H4" s="92">
        <f t="shared" ref="H4:H21" si="0">J4*88*1.6</f>
        <v>2752.6399999999994</v>
      </c>
      <c r="I4" s="93">
        <f t="shared" ref="I4:I21" si="1">H4*G4</f>
        <v>11010.559999999998</v>
      </c>
      <c r="J4" s="85">
        <f t="shared" ref="J4:J21" si="2">K4*1.15</f>
        <v>19.549999999999997</v>
      </c>
      <c r="K4" s="94">
        <v>17</v>
      </c>
      <c r="L4" s="85">
        <v>41720</v>
      </c>
    </row>
    <row r="5" spans="1:12" x14ac:dyDescent="0.3">
      <c r="A5" s="88">
        <v>3</v>
      </c>
      <c r="B5" s="88" t="s">
        <v>292</v>
      </c>
      <c r="C5" s="90">
        <v>5</v>
      </c>
      <c r="D5" s="88" t="s">
        <v>293</v>
      </c>
      <c r="E5" s="88" t="s">
        <v>321</v>
      </c>
      <c r="F5" s="88" t="s">
        <v>263</v>
      </c>
      <c r="G5" s="88">
        <v>4</v>
      </c>
      <c r="H5" s="92">
        <f t="shared" si="0"/>
        <v>11334.400000000001</v>
      </c>
      <c r="I5" s="93">
        <f t="shared" si="1"/>
        <v>45337.600000000006</v>
      </c>
      <c r="J5" s="85">
        <f t="shared" si="2"/>
        <v>80.5</v>
      </c>
      <c r="K5" s="94">
        <v>70</v>
      </c>
      <c r="L5" s="85">
        <v>41720</v>
      </c>
    </row>
    <row r="6" spans="1:12" x14ac:dyDescent="0.3">
      <c r="A6" s="88">
        <v>4</v>
      </c>
      <c r="B6" s="88" t="s">
        <v>289</v>
      </c>
      <c r="C6" s="90">
        <v>6</v>
      </c>
      <c r="D6" s="88" t="s">
        <v>294</v>
      </c>
      <c r="E6" s="88" t="s">
        <v>321</v>
      </c>
      <c r="F6" s="88" t="s">
        <v>263</v>
      </c>
      <c r="G6" s="88">
        <v>4</v>
      </c>
      <c r="H6" s="92">
        <f t="shared" si="0"/>
        <v>11334.400000000001</v>
      </c>
      <c r="I6" s="93">
        <f t="shared" si="1"/>
        <v>45337.600000000006</v>
      </c>
      <c r="J6" s="85">
        <f t="shared" si="2"/>
        <v>80.5</v>
      </c>
      <c r="K6" s="94">
        <v>70</v>
      </c>
      <c r="L6" s="85">
        <v>41720</v>
      </c>
    </row>
    <row r="7" spans="1:12" x14ac:dyDescent="0.3">
      <c r="A7" s="88">
        <v>5</v>
      </c>
      <c r="B7" s="88" t="s">
        <v>295</v>
      </c>
      <c r="C7" s="90">
        <v>10</v>
      </c>
      <c r="D7" s="88" t="s">
        <v>296</v>
      </c>
      <c r="E7" s="88" t="s">
        <v>321</v>
      </c>
      <c r="F7" s="88" t="s">
        <v>263</v>
      </c>
      <c r="G7" s="88">
        <v>36</v>
      </c>
      <c r="H7" s="92">
        <f t="shared" si="0"/>
        <v>485.76</v>
      </c>
      <c r="I7" s="93">
        <f t="shared" si="1"/>
        <v>17487.36</v>
      </c>
      <c r="J7" s="85">
        <f t="shared" si="2"/>
        <v>3.4499999999999997</v>
      </c>
      <c r="K7" s="94">
        <v>3</v>
      </c>
      <c r="L7" s="85">
        <v>2100</v>
      </c>
    </row>
    <row r="8" spans="1:12" x14ac:dyDescent="0.3">
      <c r="A8" s="88">
        <v>6</v>
      </c>
      <c r="B8" s="88" t="s">
        <v>297</v>
      </c>
      <c r="C8" s="90">
        <v>9</v>
      </c>
      <c r="D8" s="88" t="s">
        <v>298</v>
      </c>
      <c r="E8" s="88" t="s">
        <v>322</v>
      </c>
      <c r="F8" s="88" t="s">
        <v>263</v>
      </c>
      <c r="G8" s="88">
        <v>2</v>
      </c>
      <c r="H8" s="92">
        <f t="shared" si="0"/>
        <v>11334.400000000001</v>
      </c>
      <c r="I8" s="93">
        <f t="shared" si="1"/>
        <v>22668.800000000003</v>
      </c>
      <c r="J8" s="85">
        <f t="shared" si="2"/>
        <v>80.5</v>
      </c>
      <c r="K8" s="94">
        <v>70</v>
      </c>
      <c r="L8" s="85">
        <v>2100</v>
      </c>
    </row>
    <row r="9" spans="1:12" x14ac:dyDescent="0.3">
      <c r="A9" s="88">
        <v>7</v>
      </c>
      <c r="B9" s="88" t="s">
        <v>297</v>
      </c>
      <c r="C9" s="90">
        <v>10</v>
      </c>
      <c r="D9" s="88" t="s">
        <v>299</v>
      </c>
      <c r="E9" s="88" t="s">
        <v>322</v>
      </c>
      <c r="F9" s="88" t="s">
        <v>263</v>
      </c>
      <c r="G9" s="88">
        <v>4</v>
      </c>
      <c r="H9" s="92">
        <f t="shared" si="0"/>
        <v>11334.400000000001</v>
      </c>
      <c r="I9" s="93">
        <f t="shared" si="1"/>
        <v>45337.600000000006</v>
      </c>
      <c r="J9" s="85">
        <f t="shared" si="2"/>
        <v>80.5</v>
      </c>
      <c r="K9" s="94">
        <v>70</v>
      </c>
      <c r="L9" s="85">
        <v>2100</v>
      </c>
    </row>
    <row r="10" spans="1:12" x14ac:dyDescent="0.3">
      <c r="A10" s="88">
        <v>8</v>
      </c>
      <c r="B10" s="88" t="s">
        <v>300</v>
      </c>
      <c r="C10" s="90">
        <v>11</v>
      </c>
      <c r="D10" s="88" t="s">
        <v>301</v>
      </c>
      <c r="E10" s="88" t="s">
        <v>322</v>
      </c>
      <c r="F10" s="88" t="s">
        <v>263</v>
      </c>
      <c r="G10" s="88">
        <v>4</v>
      </c>
      <c r="H10" s="92">
        <f t="shared" si="0"/>
        <v>15382.399999999998</v>
      </c>
      <c r="I10" s="93">
        <f t="shared" si="1"/>
        <v>61529.599999999991</v>
      </c>
      <c r="J10" s="85">
        <f t="shared" si="2"/>
        <v>109.24999999999999</v>
      </c>
      <c r="K10" s="94">
        <v>95</v>
      </c>
      <c r="L10" s="85">
        <v>41720</v>
      </c>
    </row>
    <row r="11" spans="1:12" x14ac:dyDescent="0.3">
      <c r="A11" s="119">
        <v>9</v>
      </c>
      <c r="B11" s="119" t="s">
        <v>302</v>
      </c>
      <c r="C11" s="120">
        <v>12</v>
      </c>
      <c r="D11" s="119" t="s">
        <v>303</v>
      </c>
      <c r="E11" s="119" t="s">
        <v>322</v>
      </c>
      <c r="F11" s="119" t="s">
        <v>263</v>
      </c>
      <c r="G11" s="119">
        <v>4</v>
      </c>
      <c r="H11" s="121">
        <f t="shared" si="0"/>
        <v>2752.6399999999994</v>
      </c>
      <c r="I11" s="122">
        <f t="shared" si="1"/>
        <v>11010.559999999998</v>
      </c>
      <c r="J11" s="85">
        <f t="shared" si="2"/>
        <v>19.549999999999997</v>
      </c>
      <c r="K11" s="94">
        <v>17</v>
      </c>
      <c r="L11" s="85">
        <v>8400</v>
      </c>
    </row>
    <row r="12" spans="1:12" ht="96.6" x14ac:dyDescent="0.3">
      <c r="A12" s="88">
        <v>12</v>
      </c>
      <c r="B12" s="90" t="s">
        <v>328</v>
      </c>
      <c r="C12" s="90" t="s">
        <v>325</v>
      </c>
      <c r="D12" s="88" t="s">
        <v>326</v>
      </c>
      <c r="E12" s="88" t="s">
        <v>323</v>
      </c>
      <c r="F12" s="88" t="s">
        <v>127</v>
      </c>
      <c r="G12" s="88">
        <v>1</v>
      </c>
      <c r="H12" s="92">
        <f>J12*94*1.6</f>
        <v>1203200</v>
      </c>
      <c r="I12" s="93">
        <f>H12*G12</f>
        <v>1203200</v>
      </c>
      <c r="J12" s="85">
        <v>8000</v>
      </c>
      <c r="K12" s="94">
        <v>5390</v>
      </c>
      <c r="L12" s="85"/>
    </row>
    <row r="13" spans="1:12" x14ac:dyDescent="0.3">
      <c r="A13" s="88">
        <v>10</v>
      </c>
      <c r="B13" s="88" t="s">
        <v>304</v>
      </c>
      <c r="C13" s="90">
        <v>1</v>
      </c>
      <c r="D13" s="88" t="s">
        <v>305</v>
      </c>
      <c r="E13" s="88" t="s">
        <v>323</v>
      </c>
      <c r="F13" s="88" t="s">
        <v>263</v>
      </c>
      <c r="G13" s="88">
        <v>4</v>
      </c>
      <c r="H13" s="92">
        <f t="shared" si="0"/>
        <v>2752.6399999999994</v>
      </c>
      <c r="I13" s="93">
        <f t="shared" si="1"/>
        <v>11010.559999999998</v>
      </c>
      <c r="J13" s="85">
        <f t="shared" si="2"/>
        <v>19.549999999999997</v>
      </c>
      <c r="K13" s="94">
        <v>17</v>
      </c>
      <c r="L13" s="85">
        <v>8400</v>
      </c>
    </row>
    <row r="14" spans="1:12" x14ac:dyDescent="0.3">
      <c r="A14" s="88">
        <v>11</v>
      </c>
      <c r="B14" s="88" t="s">
        <v>306</v>
      </c>
      <c r="C14" s="90">
        <v>7</v>
      </c>
      <c r="D14" s="88" t="s">
        <v>307</v>
      </c>
      <c r="E14" s="88" t="s">
        <v>323</v>
      </c>
      <c r="F14" s="88" t="s">
        <v>263</v>
      </c>
      <c r="G14" s="88">
        <v>2</v>
      </c>
      <c r="H14" s="92">
        <f t="shared" ref="H14" si="3">J14*88*1.6</f>
        <v>15382.399999999998</v>
      </c>
      <c r="I14" s="93">
        <f t="shared" ref="I14" si="4">H14*G14</f>
        <v>30764.799999999996</v>
      </c>
      <c r="J14" s="85">
        <f t="shared" ref="J14" si="5">K14*1.15</f>
        <v>109.24999999999999</v>
      </c>
      <c r="K14" s="94">
        <v>95</v>
      </c>
      <c r="L14" s="85">
        <v>41720</v>
      </c>
    </row>
    <row r="15" spans="1:12" x14ac:dyDescent="0.3">
      <c r="A15" s="88">
        <v>13</v>
      </c>
      <c r="B15" s="88" t="s">
        <v>308</v>
      </c>
      <c r="C15" s="90">
        <v>8</v>
      </c>
      <c r="D15" s="88" t="s">
        <v>309</v>
      </c>
      <c r="E15" s="88" t="s">
        <v>323</v>
      </c>
      <c r="F15" s="88" t="s">
        <v>263</v>
      </c>
      <c r="G15" s="88">
        <v>4</v>
      </c>
      <c r="H15" s="92">
        <f t="shared" si="0"/>
        <v>11334.400000000001</v>
      </c>
      <c r="I15" s="93">
        <f t="shared" si="1"/>
        <v>45337.600000000006</v>
      </c>
      <c r="J15" s="85">
        <f t="shared" si="2"/>
        <v>80.5</v>
      </c>
      <c r="K15" s="94">
        <v>70</v>
      </c>
      <c r="L15" s="85">
        <v>41720</v>
      </c>
    </row>
    <row r="16" spans="1:12" x14ac:dyDescent="0.3">
      <c r="A16" s="88">
        <v>14</v>
      </c>
      <c r="B16" s="88" t="s">
        <v>310</v>
      </c>
      <c r="C16" s="90">
        <v>9</v>
      </c>
      <c r="D16" s="88" t="s">
        <v>311</v>
      </c>
      <c r="E16" s="88" t="s">
        <v>323</v>
      </c>
      <c r="F16" s="88" t="s">
        <v>263</v>
      </c>
      <c r="G16" s="88">
        <v>4</v>
      </c>
      <c r="H16" s="92">
        <f t="shared" si="0"/>
        <v>15868.159999999998</v>
      </c>
      <c r="I16" s="93">
        <f t="shared" si="1"/>
        <v>63472.639999999992</v>
      </c>
      <c r="J16" s="85">
        <f t="shared" si="2"/>
        <v>112.69999999999999</v>
      </c>
      <c r="K16" s="94">
        <v>98</v>
      </c>
      <c r="L16" s="85">
        <v>41720</v>
      </c>
    </row>
    <row r="17" spans="1:12" x14ac:dyDescent="0.3">
      <c r="A17" s="88">
        <v>15</v>
      </c>
      <c r="B17" s="88" t="s">
        <v>312</v>
      </c>
      <c r="C17" s="90" t="s">
        <v>313</v>
      </c>
      <c r="D17" s="88" t="s">
        <v>314</v>
      </c>
      <c r="E17" s="88" t="s">
        <v>323</v>
      </c>
      <c r="F17" s="88" t="s">
        <v>263</v>
      </c>
      <c r="G17" s="88">
        <v>2</v>
      </c>
      <c r="H17" s="92">
        <f t="shared" si="0"/>
        <v>158681.60000000001</v>
      </c>
      <c r="I17" s="93">
        <f t="shared" si="1"/>
        <v>317363.20000000001</v>
      </c>
      <c r="J17" s="85">
        <f t="shared" si="2"/>
        <v>1127</v>
      </c>
      <c r="K17" s="94">
        <v>980</v>
      </c>
      <c r="L17" s="85">
        <v>270480</v>
      </c>
    </row>
    <row r="18" spans="1:12" x14ac:dyDescent="0.3">
      <c r="A18" s="88">
        <v>16</v>
      </c>
      <c r="B18" s="88" t="s">
        <v>304</v>
      </c>
      <c r="C18" s="90">
        <v>1</v>
      </c>
      <c r="D18" s="88" t="s">
        <v>315</v>
      </c>
      <c r="E18" s="88" t="s">
        <v>324</v>
      </c>
      <c r="F18" s="88" t="s">
        <v>263</v>
      </c>
      <c r="G18" s="88">
        <v>4</v>
      </c>
      <c r="H18" s="92">
        <f t="shared" si="0"/>
        <v>2752.6399999999994</v>
      </c>
      <c r="I18" s="93">
        <f t="shared" si="1"/>
        <v>11010.559999999998</v>
      </c>
      <c r="J18" s="85">
        <f t="shared" si="2"/>
        <v>19.549999999999997</v>
      </c>
      <c r="K18" s="94">
        <v>17</v>
      </c>
      <c r="L18" s="85">
        <v>8400</v>
      </c>
    </row>
    <row r="19" spans="1:12" x14ac:dyDescent="0.3">
      <c r="A19" s="88">
        <v>17</v>
      </c>
      <c r="B19" s="88" t="s">
        <v>310</v>
      </c>
      <c r="C19" s="90">
        <v>7</v>
      </c>
      <c r="D19" s="88" t="s">
        <v>316</v>
      </c>
      <c r="E19" s="88" t="s">
        <v>324</v>
      </c>
      <c r="F19" s="88" t="s">
        <v>263</v>
      </c>
      <c r="G19" s="88">
        <v>2</v>
      </c>
      <c r="H19" s="92">
        <f t="shared" si="0"/>
        <v>15868.159999999998</v>
      </c>
      <c r="I19" s="93">
        <f t="shared" si="1"/>
        <v>31736.319999999996</v>
      </c>
      <c r="J19" s="85">
        <f t="shared" si="2"/>
        <v>112.69999999999999</v>
      </c>
      <c r="K19" s="94">
        <v>98</v>
      </c>
      <c r="L19" s="85">
        <v>41720</v>
      </c>
    </row>
    <row r="20" spans="1:12" x14ac:dyDescent="0.3">
      <c r="A20" s="88">
        <v>19</v>
      </c>
      <c r="B20" s="88" t="s">
        <v>310</v>
      </c>
      <c r="C20" s="90">
        <v>9</v>
      </c>
      <c r="D20" s="88" t="s">
        <v>318</v>
      </c>
      <c r="E20" s="88" t="s">
        <v>324</v>
      </c>
      <c r="F20" s="88" t="s">
        <v>263</v>
      </c>
      <c r="G20" s="88">
        <v>4</v>
      </c>
      <c r="H20" s="92">
        <f t="shared" si="0"/>
        <v>15868.159999999998</v>
      </c>
      <c r="I20" s="93">
        <f t="shared" si="1"/>
        <v>63472.639999999992</v>
      </c>
      <c r="J20" s="85">
        <f t="shared" si="2"/>
        <v>112.69999999999999</v>
      </c>
      <c r="K20" s="94">
        <v>98</v>
      </c>
      <c r="L20" s="85">
        <v>41720</v>
      </c>
    </row>
    <row r="21" spans="1:12" x14ac:dyDescent="0.3">
      <c r="A21" s="88">
        <v>20</v>
      </c>
      <c r="B21" s="88" t="s">
        <v>319</v>
      </c>
      <c r="C21" s="90" t="s">
        <v>313</v>
      </c>
      <c r="D21" s="88" t="s">
        <v>314</v>
      </c>
      <c r="E21" s="88" t="s">
        <v>324</v>
      </c>
      <c r="F21" s="88" t="s">
        <v>263</v>
      </c>
      <c r="G21" s="88">
        <v>2</v>
      </c>
      <c r="H21" s="92">
        <f t="shared" si="0"/>
        <v>158681.60000000001</v>
      </c>
      <c r="I21" s="93">
        <f t="shared" si="1"/>
        <v>317363.20000000001</v>
      </c>
      <c r="J21" s="85">
        <f t="shared" si="2"/>
        <v>1127</v>
      </c>
      <c r="K21" s="94">
        <v>980</v>
      </c>
      <c r="L21" s="85">
        <v>270480</v>
      </c>
    </row>
    <row r="22" spans="1:12" x14ac:dyDescent="0.3">
      <c r="A22" s="88">
        <v>18</v>
      </c>
      <c r="B22" s="88" t="s">
        <v>308</v>
      </c>
      <c r="C22" s="90">
        <v>8</v>
      </c>
      <c r="D22" s="88" t="s">
        <v>317</v>
      </c>
      <c r="E22" s="88" t="s">
        <v>324</v>
      </c>
      <c r="F22" s="88" t="s">
        <v>263</v>
      </c>
      <c r="G22" s="88">
        <v>4</v>
      </c>
      <c r="H22" s="92">
        <f>J22*88*1.6</f>
        <v>11334.400000000001</v>
      </c>
      <c r="I22" s="93">
        <f>H22*G22</f>
        <v>45337.600000000006</v>
      </c>
      <c r="J22" s="85">
        <f>K22*1.15</f>
        <v>80.5</v>
      </c>
      <c r="K22" s="94">
        <v>70</v>
      </c>
      <c r="L22" s="85">
        <v>41720</v>
      </c>
    </row>
    <row r="23" spans="1:12" x14ac:dyDescent="0.3">
      <c r="A23" s="88">
        <v>21</v>
      </c>
      <c r="B23" s="254" t="s">
        <v>98</v>
      </c>
      <c r="C23" s="255"/>
      <c r="D23" s="255"/>
      <c r="E23" s="255"/>
      <c r="F23" s="255"/>
      <c r="G23" s="255"/>
      <c r="H23" s="256"/>
      <c r="I23" s="97">
        <f>SUM(I2:I22)</f>
        <v>2410799.3600000003</v>
      </c>
      <c r="J23" s="85"/>
      <c r="K23" s="85"/>
      <c r="L23" s="85"/>
    </row>
    <row r="24" spans="1:12" x14ac:dyDescent="0.3">
      <c r="A24" s="88">
        <v>22</v>
      </c>
      <c r="B24" s="237" t="s">
        <v>99</v>
      </c>
      <c r="C24" s="237"/>
      <c r="D24" s="237"/>
      <c r="E24" s="237"/>
      <c r="F24" s="237"/>
      <c r="G24" s="237"/>
      <c r="H24" s="237"/>
      <c r="I24" s="97">
        <f>I23*18%</f>
        <v>433943.88480000006</v>
      </c>
      <c r="J24" s="85"/>
      <c r="K24" s="85"/>
      <c r="L24" s="85"/>
    </row>
    <row r="25" spans="1:12" ht="14.4" thickBot="1" x14ac:dyDescent="0.35">
      <c r="A25" s="88">
        <v>23</v>
      </c>
      <c r="B25" s="237" t="s">
        <v>9</v>
      </c>
      <c r="C25" s="237"/>
      <c r="D25" s="237"/>
      <c r="E25" s="237"/>
      <c r="F25" s="237"/>
      <c r="G25" s="237"/>
      <c r="H25" s="237"/>
      <c r="I25" s="97">
        <f>I23+I24</f>
        <v>2844743.2448000005</v>
      </c>
      <c r="J25" s="85"/>
      <c r="K25" s="85"/>
      <c r="L25" s="85"/>
    </row>
    <row r="26" spans="1:12" x14ac:dyDescent="0.3">
      <c r="A26" s="98"/>
      <c r="B26" s="238"/>
      <c r="C26" s="238"/>
      <c r="D26" s="238"/>
      <c r="E26" s="238"/>
      <c r="F26" s="238"/>
      <c r="G26" s="238"/>
      <c r="H26" s="238"/>
      <c r="I26" s="239"/>
      <c r="J26" s="99"/>
      <c r="K26" s="85"/>
      <c r="L26" s="85"/>
    </row>
    <row r="27" spans="1:12" s="95" customFormat="1" x14ac:dyDescent="0.3">
      <c r="A27" s="240" t="s">
        <v>12</v>
      </c>
      <c r="B27" s="241"/>
      <c r="C27" s="241"/>
      <c r="D27" s="241"/>
      <c r="E27" s="241"/>
      <c r="F27" s="241"/>
      <c r="G27" s="241"/>
      <c r="H27" s="241"/>
      <c r="I27" s="242"/>
      <c r="J27" s="100"/>
      <c r="K27" s="85"/>
    </row>
    <row r="28" spans="1:12" s="95" customFormat="1" ht="124.2" x14ac:dyDescent="0.3">
      <c r="A28" s="101" t="s">
        <v>13</v>
      </c>
      <c r="B28" s="232" t="s">
        <v>285</v>
      </c>
      <c r="C28" s="232"/>
      <c r="D28" s="232"/>
      <c r="E28" s="232"/>
      <c r="F28" s="232"/>
      <c r="G28" s="232"/>
      <c r="H28" s="232"/>
      <c r="I28" s="233"/>
      <c r="J28" s="102"/>
      <c r="K28" s="85"/>
    </row>
  </sheetData>
  <mergeCells count="7">
    <mergeCell ref="B28:I28"/>
    <mergeCell ref="A1:E1"/>
    <mergeCell ref="B23:H23"/>
    <mergeCell ref="B24:H24"/>
    <mergeCell ref="B25:H25"/>
    <mergeCell ref="B26:I26"/>
    <mergeCell ref="A27:I27"/>
  </mergeCells>
  <hyperlinks>
    <hyperlink ref="B27" r:id="rId1" display="CST@2%" xr:uid="{00000000-0004-0000-28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11"/>
  <sheetViews>
    <sheetView workbookViewId="0">
      <selection activeCell="B2" sqref="B2:E3"/>
    </sheetView>
  </sheetViews>
  <sheetFormatPr defaultColWidth="9.109375" defaultRowHeight="13.8" x14ac:dyDescent="0.3"/>
  <cols>
    <col min="1" max="1" width="6.109375" style="87" customWidth="1"/>
    <col min="2" max="2" width="22.6640625" style="95" bestFit="1" customWidth="1"/>
    <col min="3" max="3" width="8" style="95" bestFit="1" customWidth="1"/>
    <col min="4" max="4" width="14.109375" style="96" bestFit="1" customWidth="1"/>
    <col min="5" max="5" width="11.5546875" style="96" bestFit="1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6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286</v>
      </c>
      <c r="C2" s="78" t="s">
        <v>287</v>
      </c>
      <c r="D2" s="78" t="s">
        <v>288</v>
      </c>
      <c r="E2" s="78" t="s">
        <v>320</v>
      </c>
      <c r="F2" s="78" t="s">
        <v>2</v>
      </c>
      <c r="G2" s="78" t="s">
        <v>3</v>
      </c>
      <c r="H2" s="78" t="s">
        <v>6</v>
      </c>
      <c r="I2" s="78" t="s">
        <v>154</v>
      </c>
      <c r="J2" s="80" t="s">
        <v>61</v>
      </c>
      <c r="K2" s="80" t="s">
        <v>193</v>
      </c>
      <c r="L2" s="80" t="s">
        <v>327</v>
      </c>
    </row>
    <row r="3" spans="1:12" ht="96.6" x14ac:dyDescent="0.3">
      <c r="A3" s="88">
        <v>1</v>
      </c>
      <c r="B3" s="90" t="s">
        <v>328</v>
      </c>
      <c r="C3" s="89" t="s">
        <v>325</v>
      </c>
      <c r="D3" s="88" t="s">
        <v>329</v>
      </c>
      <c r="E3" s="88" t="s">
        <v>331</v>
      </c>
      <c r="F3" s="88" t="s">
        <v>127</v>
      </c>
      <c r="G3" s="88">
        <v>1</v>
      </c>
      <c r="H3" s="92">
        <f>J3*94*1.6</f>
        <v>902400</v>
      </c>
      <c r="I3" s="93">
        <f>H3*G3</f>
        <v>902400</v>
      </c>
      <c r="J3" s="85">
        <v>6000</v>
      </c>
      <c r="K3" s="94">
        <v>3060</v>
      </c>
      <c r="L3" s="85"/>
    </row>
    <row r="4" spans="1:12" ht="96.6" x14ac:dyDescent="0.3">
      <c r="A4" s="88">
        <v>2</v>
      </c>
      <c r="B4" s="90" t="s">
        <v>328</v>
      </c>
      <c r="C4" s="89">
        <v>1</v>
      </c>
      <c r="D4" s="88" t="s">
        <v>330</v>
      </c>
      <c r="E4" s="88" t="s">
        <v>322</v>
      </c>
      <c r="F4" s="88" t="s">
        <v>127</v>
      </c>
      <c r="G4" s="88">
        <v>1</v>
      </c>
      <c r="H4" s="92">
        <f t="shared" ref="H4:H5" si="0">J4*88*1.6</f>
        <v>1126400</v>
      </c>
      <c r="I4" s="93">
        <f t="shared" ref="I4:I5" si="1">H4*G4</f>
        <v>1126400</v>
      </c>
      <c r="J4" s="85">
        <v>8000</v>
      </c>
      <c r="K4" s="94">
        <v>5180</v>
      </c>
      <c r="L4" s="85"/>
    </row>
    <row r="5" spans="1:12" ht="96.6" x14ac:dyDescent="0.3">
      <c r="A5" s="88">
        <v>3</v>
      </c>
      <c r="B5" s="90" t="s">
        <v>328</v>
      </c>
      <c r="C5" s="89">
        <v>7</v>
      </c>
      <c r="D5" s="88" t="s">
        <v>326</v>
      </c>
      <c r="E5" s="88" t="s">
        <v>332</v>
      </c>
      <c r="F5" s="88" t="s">
        <v>127</v>
      </c>
      <c r="G5" s="88">
        <v>1</v>
      </c>
      <c r="H5" s="92">
        <f t="shared" si="0"/>
        <v>2041600</v>
      </c>
      <c r="I5" s="93">
        <f t="shared" si="1"/>
        <v>2041600</v>
      </c>
      <c r="J5" s="85">
        <v>14500</v>
      </c>
      <c r="K5" s="94">
        <v>9150</v>
      </c>
      <c r="L5" s="85"/>
    </row>
    <row r="6" spans="1:12" x14ac:dyDescent="0.3">
      <c r="A6" s="88">
        <v>4</v>
      </c>
      <c r="B6" s="254" t="s">
        <v>98</v>
      </c>
      <c r="C6" s="255"/>
      <c r="D6" s="255"/>
      <c r="E6" s="255"/>
      <c r="F6" s="255"/>
      <c r="G6" s="255"/>
      <c r="H6" s="256"/>
      <c r="I6" s="97">
        <f>SUM(I2:I5)</f>
        <v>4070400</v>
      </c>
      <c r="J6" s="85"/>
      <c r="K6" s="85"/>
      <c r="L6" s="85"/>
    </row>
    <row r="7" spans="1:12" x14ac:dyDescent="0.3">
      <c r="A7" s="88">
        <v>5</v>
      </c>
      <c r="B7" s="237" t="s">
        <v>99</v>
      </c>
      <c r="C7" s="237"/>
      <c r="D7" s="237"/>
      <c r="E7" s="237"/>
      <c r="F7" s="237"/>
      <c r="G7" s="237"/>
      <c r="H7" s="237"/>
      <c r="I7" s="97">
        <f>I6*18%</f>
        <v>732672</v>
      </c>
      <c r="J7" s="85"/>
      <c r="K7" s="85"/>
      <c r="L7" s="85"/>
    </row>
    <row r="8" spans="1:12" ht="14.4" thickBot="1" x14ac:dyDescent="0.35">
      <c r="A8" s="88">
        <v>6</v>
      </c>
      <c r="B8" s="237" t="s">
        <v>9</v>
      </c>
      <c r="C8" s="237"/>
      <c r="D8" s="237"/>
      <c r="E8" s="237"/>
      <c r="F8" s="237"/>
      <c r="G8" s="237"/>
      <c r="H8" s="237"/>
      <c r="I8" s="97">
        <f>I6+I7</f>
        <v>4803072</v>
      </c>
      <c r="J8" s="85"/>
      <c r="K8" s="85"/>
      <c r="L8" s="85"/>
    </row>
    <row r="9" spans="1:12" x14ac:dyDescent="0.3">
      <c r="A9" s="98"/>
      <c r="B9" s="238"/>
      <c r="C9" s="238"/>
      <c r="D9" s="238"/>
      <c r="E9" s="238"/>
      <c r="F9" s="238"/>
      <c r="G9" s="238"/>
      <c r="H9" s="238"/>
      <c r="I9" s="239"/>
      <c r="J9" s="99"/>
      <c r="K9" s="85"/>
      <c r="L9" s="85"/>
    </row>
    <row r="10" spans="1:12" s="95" customFormat="1" x14ac:dyDescent="0.3">
      <c r="A10" s="240" t="s">
        <v>12</v>
      </c>
      <c r="B10" s="241"/>
      <c r="C10" s="241"/>
      <c r="D10" s="241"/>
      <c r="E10" s="241"/>
      <c r="F10" s="241"/>
      <c r="G10" s="241"/>
      <c r="H10" s="241"/>
      <c r="I10" s="242"/>
      <c r="J10" s="100"/>
      <c r="K10" s="85"/>
    </row>
    <row r="11" spans="1:12" s="95" customFormat="1" ht="124.2" x14ac:dyDescent="0.3">
      <c r="A11" s="101" t="s">
        <v>13</v>
      </c>
      <c r="B11" s="232" t="s">
        <v>285</v>
      </c>
      <c r="C11" s="232"/>
      <c r="D11" s="232"/>
      <c r="E11" s="232"/>
      <c r="F11" s="232"/>
      <c r="G11" s="232"/>
      <c r="H11" s="232"/>
      <c r="I11" s="233"/>
      <c r="J11" s="102"/>
      <c r="K11" s="85"/>
    </row>
  </sheetData>
  <mergeCells count="7">
    <mergeCell ref="B11:I11"/>
    <mergeCell ref="A1:E1"/>
    <mergeCell ref="B6:H6"/>
    <mergeCell ref="B7:H7"/>
    <mergeCell ref="B8:H8"/>
    <mergeCell ref="B9:I9"/>
    <mergeCell ref="A10:I10"/>
  </mergeCells>
  <hyperlinks>
    <hyperlink ref="B10" r:id="rId1" display="CST@2%" xr:uid="{00000000-0004-0000-29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M11"/>
  <sheetViews>
    <sheetView workbookViewId="0">
      <selection activeCell="F4" sqref="F4"/>
    </sheetView>
  </sheetViews>
  <sheetFormatPr defaultColWidth="9.109375" defaultRowHeight="13.8" x14ac:dyDescent="0.3"/>
  <cols>
    <col min="1" max="1" width="6.109375" style="13" customWidth="1"/>
    <col min="2" max="2" width="22.6640625" style="6" bestFit="1" customWidth="1"/>
    <col min="3" max="3" width="8" style="6" bestFit="1" customWidth="1"/>
    <col min="4" max="4" width="14.109375" style="14" bestFit="1" customWidth="1"/>
    <col min="5" max="5" width="11.5546875" style="14" bestFit="1" customWidth="1"/>
    <col min="6" max="6" width="12.109375" style="14" bestFit="1" customWidth="1"/>
    <col min="7" max="7" width="8.5546875" style="14" customWidth="1"/>
    <col min="8" max="8" width="13.33203125" style="14" customWidth="1"/>
    <col min="9" max="9" width="13.33203125" style="14" bestFit="1" customWidth="1"/>
    <col min="10" max="10" width="11" style="112" bestFit="1" customWidth="1"/>
    <col min="11" max="11" width="10.44140625" style="112" bestFit="1" customWidth="1"/>
    <col min="12" max="12" width="18.6640625" style="112" bestFit="1" customWidth="1"/>
    <col min="13" max="13" width="10.5546875" style="14" bestFit="1" customWidth="1"/>
    <col min="14" max="16384" width="9.109375" style="14"/>
  </cols>
  <sheetData>
    <row r="1" spans="1:13" s="13" customFormat="1" ht="14.4" thickBot="1" x14ac:dyDescent="0.35">
      <c r="A1" s="243"/>
      <c r="B1" s="244"/>
      <c r="C1" s="244"/>
      <c r="D1" s="244"/>
      <c r="E1" s="245"/>
      <c r="F1" s="106"/>
      <c r="G1" s="107"/>
      <c r="H1" s="107"/>
      <c r="I1" s="108"/>
      <c r="J1" s="2"/>
      <c r="K1" s="3"/>
      <c r="L1" s="3"/>
      <c r="M1" s="4"/>
    </row>
    <row r="2" spans="1:13" s="109" customFormat="1" ht="14.4" customHeight="1" x14ac:dyDescent="0.3">
      <c r="A2" s="22" t="s">
        <v>0</v>
      </c>
      <c r="B2" s="260" t="s">
        <v>286</v>
      </c>
      <c r="C2" s="261"/>
      <c r="D2" s="261"/>
      <c r="E2" s="262"/>
      <c r="F2" s="22" t="s">
        <v>335</v>
      </c>
      <c r="G2" s="22" t="s">
        <v>334</v>
      </c>
      <c r="H2" s="22" t="s">
        <v>6</v>
      </c>
      <c r="I2" s="22" t="s">
        <v>154</v>
      </c>
      <c r="J2" s="24" t="s">
        <v>61</v>
      </c>
      <c r="K2" s="24" t="s">
        <v>193</v>
      </c>
      <c r="L2" s="24" t="s">
        <v>153</v>
      </c>
      <c r="M2" s="25" t="s">
        <v>344</v>
      </c>
    </row>
    <row r="3" spans="1:13" ht="54.9" customHeight="1" x14ac:dyDescent="0.3">
      <c r="A3" s="27">
        <v>1</v>
      </c>
      <c r="B3" s="257" t="s">
        <v>333</v>
      </c>
      <c r="C3" s="258"/>
      <c r="D3" s="258"/>
      <c r="E3" s="259"/>
      <c r="F3" s="27" t="s">
        <v>336</v>
      </c>
      <c r="G3" s="27">
        <v>1</v>
      </c>
      <c r="H3" s="31">
        <f>J3*94*1.4</f>
        <v>592200</v>
      </c>
      <c r="I3" s="32">
        <f>H3*G3</f>
        <v>592200</v>
      </c>
      <c r="J3" s="2">
        <v>4500</v>
      </c>
      <c r="K3" s="110">
        <v>4370</v>
      </c>
      <c r="L3" s="2">
        <v>4250</v>
      </c>
      <c r="M3" s="35">
        <f>L3</f>
        <v>4250</v>
      </c>
    </row>
    <row r="4" spans="1:13" ht="54.9" customHeight="1" x14ac:dyDescent="0.3">
      <c r="A4" s="27">
        <v>2</v>
      </c>
      <c r="B4" s="257" t="s">
        <v>339</v>
      </c>
      <c r="C4" s="258"/>
      <c r="D4" s="258"/>
      <c r="E4" s="259"/>
      <c r="F4" s="27" t="s">
        <v>337</v>
      </c>
      <c r="G4" s="27">
        <v>1</v>
      </c>
      <c r="H4" s="31">
        <f t="shared" ref="H4:H5" si="0">J4*94*1.4</f>
        <v>2105600</v>
      </c>
      <c r="I4" s="32">
        <f t="shared" ref="I4:I5" si="1">H4*G4</f>
        <v>2105600</v>
      </c>
      <c r="J4" s="2">
        <v>16000</v>
      </c>
      <c r="K4" s="110">
        <v>15600</v>
      </c>
      <c r="L4" s="2">
        <v>11620</v>
      </c>
      <c r="M4" s="35">
        <v>10250</v>
      </c>
    </row>
    <row r="5" spans="1:13" ht="54.9" customHeight="1" x14ac:dyDescent="0.3">
      <c r="A5" s="27">
        <v>3</v>
      </c>
      <c r="B5" s="257" t="s">
        <v>340</v>
      </c>
      <c r="C5" s="258"/>
      <c r="D5" s="258"/>
      <c r="E5" s="259"/>
      <c r="F5" s="27" t="s">
        <v>338</v>
      </c>
      <c r="G5" s="27">
        <v>1</v>
      </c>
      <c r="H5" s="31">
        <f t="shared" si="0"/>
        <v>2105600</v>
      </c>
      <c r="I5" s="32">
        <f t="shared" si="1"/>
        <v>2105600</v>
      </c>
      <c r="J5" s="2">
        <v>16000</v>
      </c>
      <c r="K5" s="110">
        <v>15700</v>
      </c>
      <c r="L5" s="2">
        <v>12700</v>
      </c>
      <c r="M5" s="35">
        <v>11200</v>
      </c>
    </row>
    <row r="6" spans="1:13" x14ac:dyDescent="0.3">
      <c r="A6" s="27">
        <v>4</v>
      </c>
      <c r="B6" s="263" t="s">
        <v>98</v>
      </c>
      <c r="C6" s="264"/>
      <c r="D6" s="264"/>
      <c r="E6" s="264"/>
      <c r="F6" s="264"/>
      <c r="G6" s="264"/>
      <c r="H6" s="265"/>
      <c r="I6" s="105">
        <f>SUM(I2:I5)</f>
        <v>4803400</v>
      </c>
      <c r="J6" s="2"/>
      <c r="K6" s="2"/>
      <c r="L6" s="2"/>
      <c r="M6" s="6"/>
    </row>
    <row r="7" spans="1:13" x14ac:dyDescent="0.3">
      <c r="A7" s="27">
        <v>5</v>
      </c>
      <c r="B7" s="214" t="s">
        <v>99</v>
      </c>
      <c r="C7" s="214"/>
      <c r="D7" s="214"/>
      <c r="E7" s="214"/>
      <c r="F7" s="214"/>
      <c r="G7" s="214"/>
      <c r="H7" s="214"/>
      <c r="I7" s="105">
        <f>I6*18%</f>
        <v>864612</v>
      </c>
      <c r="J7" s="2"/>
      <c r="K7" s="2"/>
      <c r="L7" s="2"/>
      <c r="M7" s="6"/>
    </row>
    <row r="8" spans="1:13" ht="14.4" thickBot="1" x14ac:dyDescent="0.35">
      <c r="A8" s="27">
        <v>6</v>
      </c>
      <c r="B8" s="214" t="s">
        <v>9</v>
      </c>
      <c r="C8" s="214"/>
      <c r="D8" s="214"/>
      <c r="E8" s="214"/>
      <c r="F8" s="214"/>
      <c r="G8" s="214"/>
      <c r="H8" s="214"/>
      <c r="I8" s="105">
        <f>I6+I7</f>
        <v>5668012</v>
      </c>
      <c r="J8" s="2"/>
      <c r="K8" s="2"/>
      <c r="L8" s="2"/>
      <c r="M8" s="6"/>
    </row>
    <row r="9" spans="1:13" x14ac:dyDescent="0.3">
      <c r="A9" s="10"/>
      <c r="B9" s="246"/>
      <c r="C9" s="246"/>
      <c r="D9" s="246"/>
      <c r="E9" s="246"/>
      <c r="F9" s="246"/>
      <c r="G9" s="246"/>
      <c r="H9" s="246"/>
      <c r="I9" s="247"/>
      <c r="J9" s="11"/>
      <c r="K9" s="2"/>
      <c r="L9" s="2"/>
      <c r="M9" s="6"/>
    </row>
    <row r="10" spans="1:13" s="6" customFormat="1" x14ac:dyDescent="0.3">
      <c r="A10" s="218" t="s">
        <v>12</v>
      </c>
      <c r="B10" s="219"/>
      <c r="C10" s="219"/>
      <c r="D10" s="219"/>
      <c r="E10" s="219"/>
      <c r="F10" s="219"/>
      <c r="G10" s="219"/>
      <c r="H10" s="219"/>
      <c r="I10" s="220"/>
      <c r="J10" s="16"/>
      <c r="K10" s="2"/>
    </row>
    <row r="11" spans="1:13" s="6" customFormat="1" ht="124.2" x14ac:dyDescent="0.3">
      <c r="A11" s="111" t="s">
        <v>13</v>
      </c>
      <c r="B11" s="209" t="s">
        <v>341</v>
      </c>
      <c r="C11" s="209"/>
      <c r="D11" s="209"/>
      <c r="E11" s="209"/>
      <c r="F11" s="209"/>
      <c r="G11" s="209"/>
      <c r="H11" s="209"/>
      <c r="I11" s="210"/>
      <c r="J11" s="12"/>
      <c r="K11" s="2"/>
    </row>
  </sheetData>
  <mergeCells count="11">
    <mergeCell ref="A1:E1"/>
    <mergeCell ref="B6:H6"/>
    <mergeCell ref="B7:H7"/>
    <mergeCell ref="B8:H8"/>
    <mergeCell ref="B9:I9"/>
    <mergeCell ref="B11:I11"/>
    <mergeCell ref="B3:E3"/>
    <mergeCell ref="B4:E4"/>
    <mergeCell ref="B5:E5"/>
    <mergeCell ref="B2:E2"/>
    <mergeCell ref="A10:I10"/>
  </mergeCells>
  <hyperlinks>
    <hyperlink ref="B10" r:id="rId1" display="CST@2%" xr:uid="{00000000-0004-0000-2A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L10"/>
  <sheetViews>
    <sheetView workbookViewId="0">
      <selection activeCell="B2" sqref="B2:C3"/>
    </sheetView>
  </sheetViews>
  <sheetFormatPr defaultColWidth="9.109375" defaultRowHeight="13.8" x14ac:dyDescent="0.3"/>
  <cols>
    <col min="1" max="1" width="6.109375" style="13" customWidth="1"/>
    <col min="2" max="2" width="12.5546875" style="6" customWidth="1"/>
    <col min="3" max="3" width="31.44140625" style="6" customWidth="1"/>
    <col min="4" max="4" width="5.88671875" style="14" bestFit="1" customWidth="1"/>
    <col min="5" max="5" width="5.33203125" style="14" customWidth="1"/>
    <col min="6" max="6" width="9" style="14" bestFit="1" customWidth="1"/>
    <col min="7" max="7" width="8.5546875" style="14" customWidth="1"/>
    <col min="8" max="8" width="13.33203125" style="14" customWidth="1"/>
    <col min="9" max="9" width="13.33203125" style="14" bestFit="1" customWidth="1"/>
    <col min="10" max="10" width="11" style="112" bestFit="1" customWidth="1"/>
    <col min="11" max="11" width="10.44140625" style="112" bestFit="1" customWidth="1"/>
    <col min="12" max="12" width="18.6640625" style="112" bestFit="1" customWidth="1"/>
    <col min="13" max="13" width="10.5546875" style="14" bestFit="1" customWidth="1"/>
    <col min="14" max="16384" width="9.109375" style="14"/>
  </cols>
  <sheetData>
    <row r="1" spans="1:12" s="13" customFormat="1" ht="14.4" thickBot="1" x14ac:dyDescent="0.35">
      <c r="A1" s="243"/>
      <c r="B1" s="244"/>
      <c r="C1" s="244"/>
      <c r="D1" s="244"/>
      <c r="E1" s="245"/>
      <c r="F1" s="106"/>
      <c r="G1" s="107"/>
      <c r="H1" s="107"/>
      <c r="I1" s="108"/>
      <c r="J1" s="2"/>
      <c r="K1" s="3"/>
      <c r="L1" s="3"/>
    </row>
    <row r="2" spans="1:12" s="109" customFormat="1" x14ac:dyDescent="0.3">
      <c r="A2" s="22" t="s">
        <v>0</v>
      </c>
      <c r="B2" s="23" t="s">
        <v>185</v>
      </c>
      <c r="C2" s="22" t="s">
        <v>182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154</v>
      </c>
      <c r="J2" s="24" t="s">
        <v>61</v>
      </c>
      <c r="K2" s="24" t="s">
        <v>153</v>
      </c>
      <c r="L2" s="24" t="s">
        <v>153</v>
      </c>
    </row>
    <row r="3" spans="1:12" ht="124.2" x14ac:dyDescent="0.3">
      <c r="A3" s="27">
        <v>1</v>
      </c>
      <c r="B3" s="27">
        <v>4000018147</v>
      </c>
      <c r="C3" s="28" t="s">
        <v>342</v>
      </c>
      <c r="D3" s="27" t="s">
        <v>263</v>
      </c>
      <c r="E3" s="27">
        <v>2</v>
      </c>
      <c r="F3" s="27">
        <v>8481</v>
      </c>
      <c r="G3" s="30">
        <v>0.18</v>
      </c>
      <c r="H3" s="31">
        <v>10000</v>
      </c>
      <c r="I3" s="32">
        <f t="shared" ref="I3" si="0">H3*E3</f>
        <v>20000</v>
      </c>
      <c r="J3" s="2"/>
      <c r="K3" s="110"/>
      <c r="L3" s="2"/>
    </row>
    <row r="4" spans="1:12" x14ac:dyDescent="0.3">
      <c r="A4" s="27">
        <v>2</v>
      </c>
      <c r="B4" s="214" t="s">
        <v>98</v>
      </c>
      <c r="C4" s="214"/>
      <c r="D4" s="214"/>
      <c r="E4" s="214"/>
      <c r="F4" s="214"/>
      <c r="G4" s="214"/>
      <c r="H4" s="214"/>
      <c r="I4" s="105">
        <f>SUM(I2:I3)</f>
        <v>20000</v>
      </c>
      <c r="J4" s="2"/>
      <c r="K4" s="2"/>
      <c r="L4" s="2"/>
    </row>
    <row r="5" spans="1:12" x14ac:dyDescent="0.3">
      <c r="A5" s="27">
        <v>3</v>
      </c>
      <c r="B5" s="214" t="s">
        <v>343</v>
      </c>
      <c r="C5" s="214"/>
      <c r="D5" s="214"/>
      <c r="E5" s="214"/>
      <c r="F5" s="214"/>
      <c r="G5" s="214"/>
      <c r="H5" s="214"/>
      <c r="I5" s="105">
        <v>1500</v>
      </c>
      <c r="J5" s="2"/>
      <c r="K5" s="2"/>
      <c r="L5" s="2"/>
    </row>
    <row r="6" spans="1:12" x14ac:dyDescent="0.3">
      <c r="A6" s="27">
        <v>4</v>
      </c>
      <c r="B6" s="214" t="s">
        <v>99</v>
      </c>
      <c r="C6" s="214"/>
      <c r="D6" s="214"/>
      <c r="E6" s="214"/>
      <c r="F6" s="214"/>
      <c r="G6" s="214"/>
      <c r="H6" s="214"/>
      <c r="I6" s="105">
        <f>(I4+I5)*18%</f>
        <v>3870</v>
      </c>
      <c r="J6" s="2"/>
      <c r="K6" s="2"/>
      <c r="L6" s="2"/>
    </row>
    <row r="7" spans="1:12" ht="14.4" thickBot="1" x14ac:dyDescent="0.35">
      <c r="A7" s="27">
        <v>5</v>
      </c>
      <c r="B7" s="214" t="s">
        <v>9</v>
      </c>
      <c r="C7" s="214"/>
      <c r="D7" s="214"/>
      <c r="E7" s="214"/>
      <c r="F7" s="214"/>
      <c r="G7" s="214"/>
      <c r="H7" s="214"/>
      <c r="I7" s="105">
        <f>SUM(I4:I6)</f>
        <v>25370</v>
      </c>
      <c r="J7" s="2"/>
      <c r="K7" s="2"/>
      <c r="L7" s="2"/>
    </row>
    <row r="8" spans="1:12" x14ac:dyDescent="0.3">
      <c r="A8" s="10"/>
      <c r="B8" s="246"/>
      <c r="C8" s="246"/>
      <c r="D8" s="246"/>
      <c r="E8" s="246"/>
      <c r="F8" s="246"/>
      <c r="G8" s="246"/>
      <c r="H8" s="246"/>
      <c r="I8" s="247"/>
      <c r="J8" s="11"/>
      <c r="K8" s="2"/>
      <c r="L8" s="2"/>
    </row>
    <row r="9" spans="1:12" s="6" customFormat="1" x14ac:dyDescent="0.3">
      <c r="A9" s="218" t="s">
        <v>12</v>
      </c>
      <c r="B9" s="219"/>
      <c r="C9" s="219"/>
      <c r="D9" s="219"/>
      <c r="E9" s="219"/>
      <c r="F9" s="219"/>
      <c r="G9" s="219"/>
      <c r="H9" s="219"/>
      <c r="I9" s="220"/>
      <c r="J9" s="16"/>
      <c r="K9" s="2"/>
    </row>
    <row r="10" spans="1:12" s="6" customFormat="1" ht="124.2" x14ac:dyDescent="0.3">
      <c r="A10" s="111" t="s">
        <v>13</v>
      </c>
      <c r="B10" s="209" t="s">
        <v>285</v>
      </c>
      <c r="C10" s="209"/>
      <c r="D10" s="209"/>
      <c r="E10" s="209"/>
      <c r="F10" s="209"/>
      <c r="G10" s="209"/>
      <c r="H10" s="209"/>
      <c r="I10" s="210"/>
      <c r="J10" s="12"/>
      <c r="K10" s="2"/>
    </row>
  </sheetData>
  <mergeCells count="8">
    <mergeCell ref="B10:I10"/>
    <mergeCell ref="B5:H5"/>
    <mergeCell ref="A1:E1"/>
    <mergeCell ref="B4:H4"/>
    <mergeCell ref="B6:H6"/>
    <mergeCell ref="B7:H7"/>
    <mergeCell ref="B8:I8"/>
    <mergeCell ref="A9:I9"/>
  </mergeCells>
  <hyperlinks>
    <hyperlink ref="B9" r:id="rId1" display="CST@2%" xr:uid="{00000000-0004-0000-2B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15"/>
  <sheetViews>
    <sheetView workbookViewId="0">
      <selection activeCell="G1" sqref="G1"/>
    </sheetView>
  </sheetViews>
  <sheetFormatPr defaultColWidth="9.109375" defaultRowHeight="13.8" x14ac:dyDescent="0.3"/>
  <cols>
    <col min="1" max="1" width="6.109375" style="13" customWidth="1"/>
    <col min="2" max="2" width="11" style="6" bestFit="1" customWidth="1"/>
    <col min="3" max="3" width="42" style="14" customWidth="1"/>
    <col min="4" max="4" width="4.5546875" style="14" bestFit="1" customWidth="1"/>
    <col min="5" max="5" width="8.5546875" style="14" customWidth="1"/>
    <col min="6" max="6" width="13.33203125" style="14" customWidth="1"/>
    <col min="7" max="7" width="13.33203125" style="14" bestFit="1" customWidth="1"/>
    <col min="8" max="8" width="11" style="112" bestFit="1" customWidth="1"/>
    <col min="9" max="9" width="10.44140625" style="112" bestFit="1" customWidth="1"/>
    <col min="10" max="10" width="18.6640625" style="112" bestFit="1" customWidth="1"/>
    <col min="11" max="11" width="10.5546875" style="14" bestFit="1" customWidth="1"/>
    <col min="12" max="16384" width="9.109375" style="14"/>
  </cols>
  <sheetData>
    <row r="1" spans="1:11" s="13" customFormat="1" ht="14.4" thickBot="1" x14ac:dyDescent="0.35">
      <c r="A1" s="243"/>
      <c r="B1" s="244"/>
      <c r="C1" s="245"/>
      <c r="D1" s="106"/>
      <c r="E1" s="107"/>
      <c r="F1" s="107"/>
      <c r="G1" s="108"/>
      <c r="H1" s="2"/>
      <c r="I1" s="3"/>
      <c r="J1" s="3"/>
      <c r="K1" s="4"/>
    </row>
    <row r="2" spans="1:11" s="109" customFormat="1" ht="14.4" customHeight="1" x14ac:dyDescent="0.3">
      <c r="A2" s="22" t="s">
        <v>0</v>
      </c>
      <c r="B2" s="23" t="s">
        <v>185</v>
      </c>
      <c r="C2" s="23" t="s">
        <v>286</v>
      </c>
      <c r="D2" s="22" t="s">
        <v>347</v>
      </c>
      <c r="E2" s="22" t="s">
        <v>348</v>
      </c>
      <c r="F2" s="22" t="s">
        <v>6</v>
      </c>
      <c r="G2" s="22" t="s">
        <v>154</v>
      </c>
      <c r="H2" s="24" t="s">
        <v>61</v>
      </c>
      <c r="I2" s="24" t="s">
        <v>108</v>
      </c>
      <c r="J2" s="24" t="s">
        <v>60</v>
      </c>
      <c r="K2" s="25" t="s">
        <v>344</v>
      </c>
    </row>
    <row r="3" spans="1:11" ht="96.6" x14ac:dyDescent="0.3">
      <c r="A3" s="27">
        <v>1</v>
      </c>
      <c r="B3" s="124">
        <v>4000018414</v>
      </c>
      <c r="C3" s="123" t="s">
        <v>355</v>
      </c>
      <c r="D3" s="27" t="s">
        <v>345</v>
      </c>
      <c r="E3" s="27">
        <v>2</v>
      </c>
      <c r="F3" s="31">
        <f>H3*90*1.35</f>
        <v>984150.00000000012</v>
      </c>
      <c r="G3" s="32">
        <f>F3*E3</f>
        <v>1968300.0000000002</v>
      </c>
      <c r="H3" s="2">
        <v>8100</v>
      </c>
      <c r="I3" s="125">
        <f>290/7</f>
        <v>41.428571428571431</v>
      </c>
      <c r="J3" s="2">
        <f>205*39+44</f>
        <v>8039</v>
      </c>
      <c r="K3" s="35"/>
    </row>
    <row r="4" spans="1:11" ht="54.9" customHeight="1" x14ac:dyDescent="0.3">
      <c r="A4" s="27">
        <v>2</v>
      </c>
      <c r="B4" s="124">
        <v>4000018416</v>
      </c>
      <c r="C4" s="123" t="s">
        <v>349</v>
      </c>
      <c r="D4" s="27" t="s">
        <v>346</v>
      </c>
      <c r="E4" s="27">
        <v>150</v>
      </c>
      <c r="F4" s="31">
        <f t="shared" ref="F4:F8" si="0">H4*90*1.35</f>
        <v>1822.5000000000002</v>
      </c>
      <c r="G4" s="32">
        <f t="shared" ref="G4:G8" si="1">F4*E4</f>
        <v>273375.00000000006</v>
      </c>
      <c r="H4" s="2">
        <v>15</v>
      </c>
      <c r="I4" s="125">
        <f>100/7</f>
        <v>14.285714285714286</v>
      </c>
      <c r="J4" s="2">
        <v>13</v>
      </c>
      <c r="K4" s="35"/>
    </row>
    <row r="5" spans="1:11" ht="54.9" customHeight="1" x14ac:dyDescent="0.3">
      <c r="A5" s="27">
        <v>3</v>
      </c>
      <c r="B5" s="124">
        <v>4000018417</v>
      </c>
      <c r="C5" s="123" t="s">
        <v>350</v>
      </c>
      <c r="D5" s="27" t="s">
        <v>346</v>
      </c>
      <c r="E5" s="27">
        <v>2</v>
      </c>
      <c r="F5" s="31">
        <f t="shared" si="0"/>
        <v>5103</v>
      </c>
      <c r="G5" s="32">
        <f t="shared" si="1"/>
        <v>10206</v>
      </c>
      <c r="H5" s="2">
        <v>42</v>
      </c>
      <c r="I5" s="125">
        <f t="shared" ref="I5" si="2">290/7</f>
        <v>41.428571428571431</v>
      </c>
      <c r="J5" s="2">
        <v>43</v>
      </c>
      <c r="K5" s="35"/>
    </row>
    <row r="6" spans="1:11" ht="54.9" customHeight="1" x14ac:dyDescent="0.3">
      <c r="A6" s="27">
        <v>4</v>
      </c>
      <c r="B6" s="124">
        <v>4000018418</v>
      </c>
      <c r="C6" s="123" t="s">
        <v>351</v>
      </c>
      <c r="D6" s="27" t="s">
        <v>346</v>
      </c>
      <c r="E6" s="27">
        <v>96</v>
      </c>
      <c r="F6" s="31">
        <f t="shared" si="0"/>
        <v>1215</v>
      </c>
      <c r="G6" s="32">
        <f t="shared" si="1"/>
        <v>116640</v>
      </c>
      <c r="H6" s="2">
        <v>10</v>
      </c>
      <c r="I6" s="125">
        <f>65/7</f>
        <v>9.2857142857142865</v>
      </c>
      <c r="J6" s="2">
        <v>10</v>
      </c>
      <c r="K6" s="35"/>
    </row>
    <row r="7" spans="1:11" ht="54.9" customHeight="1" x14ac:dyDescent="0.3">
      <c r="A7" s="27">
        <v>5</v>
      </c>
      <c r="B7" s="124">
        <v>4000018420</v>
      </c>
      <c r="C7" s="123" t="s">
        <v>352</v>
      </c>
      <c r="D7" s="27" t="s">
        <v>346</v>
      </c>
      <c r="E7" s="27">
        <v>96</v>
      </c>
      <c r="F7" s="31">
        <f t="shared" si="0"/>
        <v>3402</v>
      </c>
      <c r="G7" s="32">
        <f t="shared" si="1"/>
        <v>326592</v>
      </c>
      <c r="H7" s="2">
        <v>28</v>
      </c>
      <c r="I7" s="125">
        <f>188/7</f>
        <v>26.857142857142858</v>
      </c>
      <c r="J7" s="2">
        <v>31</v>
      </c>
      <c r="K7" s="35"/>
    </row>
    <row r="8" spans="1:11" ht="54.9" customHeight="1" x14ac:dyDescent="0.3">
      <c r="A8" s="27">
        <v>6</v>
      </c>
      <c r="B8" s="124">
        <v>4000018421</v>
      </c>
      <c r="C8" s="123" t="s">
        <v>353</v>
      </c>
      <c r="D8" s="27" t="s">
        <v>346</v>
      </c>
      <c r="E8" s="27">
        <v>2</v>
      </c>
      <c r="F8" s="31">
        <f t="shared" si="0"/>
        <v>3645.0000000000005</v>
      </c>
      <c r="G8" s="32">
        <f t="shared" si="1"/>
        <v>7290.0000000000009</v>
      </c>
      <c r="H8" s="2">
        <v>30</v>
      </c>
      <c r="I8" s="125">
        <f>200/7</f>
        <v>28.571428571428573</v>
      </c>
      <c r="J8" s="2">
        <v>35</v>
      </c>
      <c r="K8" s="35"/>
    </row>
    <row r="9" spans="1:11" ht="54.9" customHeight="1" x14ac:dyDescent="0.3">
      <c r="A9" s="27">
        <v>7</v>
      </c>
      <c r="B9" s="124">
        <v>4000018423</v>
      </c>
      <c r="C9" s="123" t="s">
        <v>354</v>
      </c>
      <c r="D9" s="27" t="s">
        <v>346</v>
      </c>
      <c r="E9" s="27">
        <v>1</v>
      </c>
      <c r="F9" s="31" t="s">
        <v>71</v>
      </c>
      <c r="G9" s="32">
        <v>0</v>
      </c>
      <c r="H9" s="2"/>
      <c r="I9" s="125"/>
      <c r="J9" s="2"/>
      <c r="K9" s="35"/>
    </row>
    <row r="10" spans="1:11" x14ac:dyDescent="0.3">
      <c r="A10" s="27">
        <v>8</v>
      </c>
      <c r="B10" s="263" t="s">
        <v>98</v>
      </c>
      <c r="C10" s="264"/>
      <c r="D10" s="264"/>
      <c r="E10" s="264"/>
      <c r="F10" s="265"/>
      <c r="G10" s="105">
        <f>SUM(G2:G9)</f>
        <v>2702403.0000000005</v>
      </c>
      <c r="H10" s="2"/>
      <c r="I10" s="2"/>
      <c r="J10" s="2"/>
      <c r="K10" s="6"/>
    </row>
    <row r="11" spans="1:11" x14ac:dyDescent="0.3">
      <c r="A11" s="27">
        <v>9</v>
      </c>
      <c r="B11" s="214" t="s">
        <v>99</v>
      </c>
      <c r="C11" s="214"/>
      <c r="D11" s="214"/>
      <c r="E11" s="214"/>
      <c r="F11" s="214"/>
      <c r="G11" s="105">
        <f>G10*18%</f>
        <v>486432.54000000004</v>
      </c>
      <c r="H11" s="2"/>
      <c r="I11" s="2"/>
      <c r="J11" s="2"/>
      <c r="K11" s="6"/>
    </row>
    <row r="12" spans="1:11" ht="14.4" thickBot="1" x14ac:dyDescent="0.35">
      <c r="A12" s="27">
        <v>10</v>
      </c>
      <c r="B12" s="214" t="s">
        <v>9</v>
      </c>
      <c r="C12" s="214"/>
      <c r="D12" s="214"/>
      <c r="E12" s="214"/>
      <c r="F12" s="214"/>
      <c r="G12" s="105">
        <f>G10+G11</f>
        <v>3188835.5400000005</v>
      </c>
      <c r="H12" s="2"/>
      <c r="I12" s="2"/>
      <c r="J12" s="2"/>
      <c r="K12" s="6"/>
    </row>
    <row r="13" spans="1:11" x14ac:dyDescent="0.3">
      <c r="A13" s="10"/>
      <c r="B13" s="246"/>
      <c r="C13" s="246"/>
      <c r="D13" s="246"/>
      <c r="E13" s="246"/>
      <c r="F13" s="246"/>
      <c r="G13" s="247"/>
      <c r="H13" s="11"/>
      <c r="I13" s="2"/>
      <c r="J13" s="2"/>
      <c r="K13" s="6"/>
    </row>
    <row r="14" spans="1:11" s="6" customFormat="1" x14ac:dyDescent="0.3">
      <c r="A14" s="218" t="s">
        <v>12</v>
      </c>
      <c r="B14" s="219"/>
      <c r="C14" s="219"/>
      <c r="D14" s="219"/>
      <c r="E14" s="219"/>
      <c r="F14" s="219"/>
      <c r="G14" s="220"/>
      <c r="H14" s="16"/>
      <c r="I14" s="2"/>
    </row>
    <row r="15" spans="1:11" s="6" customFormat="1" ht="124.2" x14ac:dyDescent="0.3">
      <c r="A15" s="111" t="s">
        <v>13</v>
      </c>
      <c r="B15" s="209" t="s">
        <v>341</v>
      </c>
      <c r="C15" s="209"/>
      <c r="D15" s="209"/>
      <c r="E15" s="209"/>
      <c r="F15" s="209"/>
      <c r="G15" s="210"/>
      <c r="H15" s="12"/>
      <c r="I15" s="2"/>
    </row>
  </sheetData>
  <mergeCells count="7">
    <mergeCell ref="A14:G14"/>
    <mergeCell ref="B15:G15"/>
    <mergeCell ref="A1:C1"/>
    <mergeCell ref="B10:F10"/>
    <mergeCell ref="B11:F11"/>
    <mergeCell ref="B12:F12"/>
    <mergeCell ref="B13:G13"/>
  </mergeCells>
  <hyperlinks>
    <hyperlink ref="B14" r:id="rId1" display="CST@2%" xr:uid="{00000000-0004-0000-2C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M22"/>
  <sheetViews>
    <sheetView topLeftCell="A13" workbookViewId="0">
      <selection activeCell="A2" sqref="A2:J22"/>
    </sheetView>
  </sheetViews>
  <sheetFormatPr defaultColWidth="9.109375" defaultRowHeight="13.8" x14ac:dyDescent="0.3"/>
  <cols>
    <col min="1" max="1" width="6.109375" style="87" customWidth="1"/>
    <col min="2" max="2" width="22.6640625" style="95" bestFit="1" customWidth="1"/>
    <col min="3" max="3" width="22.6640625" style="95" customWidth="1"/>
    <col min="4" max="4" width="8" style="95" bestFit="1" customWidth="1"/>
    <col min="5" max="5" width="14.109375" style="96" bestFit="1" customWidth="1"/>
    <col min="6" max="6" width="14.33203125" style="96" bestFit="1" customWidth="1"/>
    <col min="7" max="7" width="9" style="96" bestFit="1" customWidth="1"/>
    <col min="8" max="8" width="8.5546875" style="96" customWidth="1"/>
    <col min="9" max="9" width="13.33203125" style="96" customWidth="1"/>
    <col min="10" max="10" width="13.33203125" style="96" bestFit="1" customWidth="1"/>
    <col min="11" max="11" width="11" style="103" bestFit="1" customWidth="1"/>
    <col min="12" max="12" width="10.44140625" style="103" bestFit="1" customWidth="1"/>
    <col min="13" max="13" width="18.6640625" style="103" bestFit="1" customWidth="1"/>
    <col min="14" max="14" width="10.5546875" style="96" bestFit="1" customWidth="1"/>
    <col min="15" max="16384" width="9.109375" style="96"/>
  </cols>
  <sheetData>
    <row r="1" spans="1:13" s="87" customFormat="1" ht="14.4" thickBot="1" x14ac:dyDescent="0.35">
      <c r="A1" s="234"/>
      <c r="B1" s="235"/>
      <c r="C1" s="235"/>
      <c r="D1" s="235"/>
      <c r="E1" s="235"/>
      <c r="F1" s="236"/>
      <c r="G1" s="82"/>
      <c r="H1" s="83"/>
      <c r="I1" s="83"/>
      <c r="J1" s="84"/>
      <c r="K1" s="85"/>
      <c r="L1" s="86"/>
      <c r="M1" s="86"/>
    </row>
    <row r="2" spans="1:13" s="81" customFormat="1" x14ac:dyDescent="0.3">
      <c r="A2" s="78" t="s">
        <v>0</v>
      </c>
      <c r="B2" s="79" t="s">
        <v>358</v>
      </c>
      <c r="C2" s="79" t="s">
        <v>286</v>
      </c>
      <c r="D2" s="78" t="s">
        <v>287</v>
      </c>
      <c r="E2" s="78" t="s">
        <v>288</v>
      </c>
      <c r="F2" s="78" t="s">
        <v>320</v>
      </c>
      <c r="G2" s="78" t="s">
        <v>377</v>
      </c>
      <c r="H2" s="78" t="s">
        <v>385</v>
      </c>
      <c r="I2" s="78" t="s">
        <v>6</v>
      </c>
      <c r="J2" s="78" t="s">
        <v>154</v>
      </c>
      <c r="K2" s="80" t="s">
        <v>61</v>
      </c>
      <c r="L2" s="80" t="s">
        <v>193</v>
      </c>
      <c r="M2" s="80" t="s">
        <v>327</v>
      </c>
    </row>
    <row r="3" spans="1:13" x14ac:dyDescent="0.3">
      <c r="A3" s="88">
        <v>1</v>
      </c>
      <c r="B3" s="89">
        <v>4000018815</v>
      </c>
      <c r="C3" s="90" t="s">
        <v>357</v>
      </c>
      <c r="D3" s="89">
        <v>7</v>
      </c>
      <c r="E3" s="88" t="s">
        <v>512</v>
      </c>
      <c r="F3" s="88" t="s">
        <v>356</v>
      </c>
      <c r="G3" s="88" t="s">
        <v>378</v>
      </c>
      <c r="H3" s="88">
        <v>1</v>
      </c>
      <c r="I3" s="92">
        <f>K3*88*1.5</f>
        <v>448800</v>
      </c>
      <c r="J3" s="93">
        <f t="shared" ref="J3:J16" si="0">I3*H3</f>
        <v>448800</v>
      </c>
      <c r="K3" s="85">
        <v>3400</v>
      </c>
      <c r="L3" s="94">
        <v>2790</v>
      </c>
      <c r="M3" s="85"/>
    </row>
    <row r="4" spans="1:13" x14ac:dyDescent="0.3">
      <c r="A4" s="88">
        <v>2</v>
      </c>
      <c r="B4" s="89">
        <v>4000006107</v>
      </c>
      <c r="C4" s="90" t="s">
        <v>359</v>
      </c>
      <c r="D4" s="89">
        <v>2</v>
      </c>
      <c r="E4" s="88" t="s">
        <v>360</v>
      </c>
      <c r="F4" s="88" t="s">
        <v>361</v>
      </c>
      <c r="G4" s="88" t="s">
        <v>378</v>
      </c>
      <c r="H4" s="88">
        <v>1</v>
      </c>
      <c r="I4" s="92">
        <f t="shared" ref="I4:I16" si="1">K4*88*1.6</f>
        <v>1689.6000000000001</v>
      </c>
      <c r="J4" s="93">
        <f t="shared" si="0"/>
        <v>1689.6000000000001</v>
      </c>
      <c r="K4" s="85">
        <v>12</v>
      </c>
      <c r="L4" s="94">
        <v>8</v>
      </c>
      <c r="M4" s="85"/>
    </row>
    <row r="5" spans="1:13" x14ac:dyDescent="0.3">
      <c r="A5" s="88">
        <v>3</v>
      </c>
      <c r="B5" s="89">
        <v>4000018816</v>
      </c>
      <c r="C5" s="90" t="s">
        <v>362</v>
      </c>
      <c r="D5" s="89">
        <v>5</v>
      </c>
      <c r="E5" s="88" t="s">
        <v>363</v>
      </c>
      <c r="F5" s="88" t="s">
        <v>361</v>
      </c>
      <c r="G5" s="88" t="s">
        <v>378</v>
      </c>
      <c r="H5" s="88">
        <v>2</v>
      </c>
      <c r="I5" s="92">
        <f t="shared" si="1"/>
        <v>35200</v>
      </c>
      <c r="J5" s="93">
        <f t="shared" si="0"/>
        <v>70400</v>
      </c>
      <c r="K5" s="85">
        <v>250</v>
      </c>
      <c r="L5" s="94">
        <v>220</v>
      </c>
      <c r="M5" s="85"/>
    </row>
    <row r="6" spans="1:13" x14ac:dyDescent="0.3">
      <c r="A6" s="88">
        <v>4</v>
      </c>
      <c r="B6" s="89">
        <v>4000018817</v>
      </c>
      <c r="C6" s="90" t="s">
        <v>364</v>
      </c>
      <c r="D6" s="89">
        <v>7</v>
      </c>
      <c r="E6" s="88" t="s">
        <v>167</v>
      </c>
      <c r="F6" s="88" t="s">
        <v>361</v>
      </c>
      <c r="G6" s="88" t="s">
        <v>378</v>
      </c>
      <c r="H6" s="88">
        <v>1</v>
      </c>
      <c r="I6" s="92">
        <f t="shared" si="1"/>
        <v>35200</v>
      </c>
      <c r="J6" s="93">
        <f t="shared" si="0"/>
        <v>35200</v>
      </c>
      <c r="K6" s="85">
        <v>250</v>
      </c>
      <c r="L6" s="94">
        <v>220</v>
      </c>
      <c r="M6" s="85"/>
    </row>
    <row r="7" spans="1:13" x14ac:dyDescent="0.3">
      <c r="A7" s="88">
        <v>5</v>
      </c>
      <c r="B7" s="89">
        <v>4000018818</v>
      </c>
      <c r="C7" s="90" t="s">
        <v>366</v>
      </c>
      <c r="D7" s="89">
        <v>12</v>
      </c>
      <c r="E7" s="88" t="s">
        <v>365</v>
      </c>
      <c r="F7" s="88" t="s">
        <v>361</v>
      </c>
      <c r="G7" s="88" t="s">
        <v>378</v>
      </c>
      <c r="H7" s="88">
        <v>1</v>
      </c>
      <c r="I7" s="92">
        <f t="shared" si="1"/>
        <v>4224</v>
      </c>
      <c r="J7" s="93">
        <f t="shared" si="0"/>
        <v>4224</v>
      </c>
      <c r="K7" s="85">
        <v>30</v>
      </c>
      <c r="L7" s="94">
        <v>22</v>
      </c>
      <c r="M7" s="85"/>
    </row>
    <row r="8" spans="1:13" x14ac:dyDescent="0.3">
      <c r="A8" s="88">
        <v>6</v>
      </c>
      <c r="B8" s="89">
        <v>4000018819</v>
      </c>
      <c r="C8" s="90" t="s">
        <v>368</v>
      </c>
      <c r="D8" s="89">
        <v>13</v>
      </c>
      <c r="E8" s="88" t="s">
        <v>367</v>
      </c>
      <c r="F8" s="88" t="s">
        <v>361</v>
      </c>
      <c r="G8" s="88" t="s">
        <v>378</v>
      </c>
      <c r="H8" s="88">
        <v>1</v>
      </c>
      <c r="I8" s="92">
        <f t="shared" si="1"/>
        <v>4928</v>
      </c>
      <c r="J8" s="93">
        <f t="shared" si="0"/>
        <v>4928</v>
      </c>
      <c r="K8" s="85">
        <v>35</v>
      </c>
      <c r="L8" s="94">
        <v>28</v>
      </c>
      <c r="M8" s="85"/>
    </row>
    <row r="9" spans="1:13" x14ac:dyDescent="0.3">
      <c r="A9" s="88">
        <v>7</v>
      </c>
      <c r="B9" s="89">
        <v>4000018820</v>
      </c>
      <c r="C9" s="90" t="s">
        <v>370</v>
      </c>
      <c r="D9" s="89">
        <v>14</v>
      </c>
      <c r="E9" s="88" t="s">
        <v>369</v>
      </c>
      <c r="F9" s="88" t="s">
        <v>361</v>
      </c>
      <c r="G9" s="88" t="s">
        <v>378</v>
      </c>
      <c r="H9" s="88">
        <v>1</v>
      </c>
      <c r="I9" s="92">
        <f t="shared" si="1"/>
        <v>844.80000000000007</v>
      </c>
      <c r="J9" s="93">
        <f t="shared" si="0"/>
        <v>844.80000000000007</v>
      </c>
      <c r="K9" s="85">
        <v>6</v>
      </c>
      <c r="L9" s="94">
        <v>4</v>
      </c>
      <c r="M9" s="85"/>
    </row>
    <row r="10" spans="1:13" x14ac:dyDescent="0.3">
      <c r="A10" s="88">
        <v>8</v>
      </c>
      <c r="B10" s="89">
        <v>4000018821</v>
      </c>
      <c r="C10" s="90" t="s">
        <v>371</v>
      </c>
      <c r="D10" s="89">
        <v>17</v>
      </c>
      <c r="E10" s="88" t="s">
        <v>372</v>
      </c>
      <c r="F10" s="88" t="s">
        <v>361</v>
      </c>
      <c r="G10" s="88" t="s">
        <v>378</v>
      </c>
      <c r="H10" s="88">
        <v>1</v>
      </c>
      <c r="I10" s="92">
        <f t="shared" si="1"/>
        <v>2112</v>
      </c>
      <c r="J10" s="93">
        <f t="shared" si="0"/>
        <v>2112</v>
      </c>
      <c r="K10" s="85">
        <v>15</v>
      </c>
      <c r="L10" s="94">
        <v>11</v>
      </c>
      <c r="M10" s="85"/>
    </row>
    <row r="11" spans="1:13" x14ac:dyDescent="0.3">
      <c r="A11" s="88">
        <v>9</v>
      </c>
      <c r="B11" s="89">
        <v>4000018822</v>
      </c>
      <c r="C11" s="90" t="s">
        <v>371</v>
      </c>
      <c r="D11" s="89">
        <v>18</v>
      </c>
      <c r="E11" s="88" t="s">
        <v>373</v>
      </c>
      <c r="F11" s="88" t="s">
        <v>361</v>
      </c>
      <c r="G11" s="88" t="s">
        <v>378</v>
      </c>
      <c r="H11" s="88">
        <v>1</v>
      </c>
      <c r="I11" s="92">
        <f t="shared" si="1"/>
        <v>2816</v>
      </c>
      <c r="J11" s="93">
        <f t="shared" si="0"/>
        <v>2816</v>
      </c>
      <c r="K11" s="85">
        <v>20</v>
      </c>
      <c r="L11" s="94">
        <v>15</v>
      </c>
      <c r="M11" s="85"/>
    </row>
    <row r="12" spans="1:13" x14ac:dyDescent="0.3">
      <c r="A12" s="88">
        <v>10</v>
      </c>
      <c r="B12" s="89">
        <v>4000018823</v>
      </c>
      <c r="C12" s="90" t="s">
        <v>374</v>
      </c>
      <c r="D12" s="89">
        <v>23</v>
      </c>
      <c r="E12" s="88" t="s">
        <v>375</v>
      </c>
      <c r="F12" s="88" t="s">
        <v>361</v>
      </c>
      <c r="G12" s="88" t="s">
        <v>378</v>
      </c>
      <c r="H12" s="88">
        <v>1</v>
      </c>
      <c r="I12" s="92">
        <f t="shared" si="1"/>
        <v>1408</v>
      </c>
      <c r="J12" s="93">
        <f t="shared" si="0"/>
        <v>1408</v>
      </c>
      <c r="K12" s="85">
        <v>10</v>
      </c>
      <c r="L12" s="94">
        <v>8</v>
      </c>
      <c r="M12" s="85"/>
    </row>
    <row r="13" spans="1:13" x14ac:dyDescent="0.3">
      <c r="A13" s="88">
        <v>11</v>
      </c>
      <c r="B13" s="89">
        <v>4000018824</v>
      </c>
      <c r="C13" s="90" t="s">
        <v>366</v>
      </c>
      <c r="D13" s="89">
        <v>24</v>
      </c>
      <c r="E13" s="88" t="s">
        <v>376</v>
      </c>
      <c r="F13" s="88" t="s">
        <v>361</v>
      </c>
      <c r="G13" s="88" t="s">
        <v>378</v>
      </c>
      <c r="H13" s="88">
        <v>1</v>
      </c>
      <c r="I13" s="92">
        <f t="shared" si="1"/>
        <v>21120</v>
      </c>
      <c r="J13" s="93">
        <f t="shared" si="0"/>
        <v>21120</v>
      </c>
      <c r="K13" s="85">
        <v>150</v>
      </c>
      <c r="L13" s="94">
        <v>130</v>
      </c>
      <c r="M13" s="85"/>
    </row>
    <row r="14" spans="1:13" ht="27.6" x14ac:dyDescent="0.3">
      <c r="A14" s="88">
        <v>12</v>
      </c>
      <c r="B14" s="89">
        <v>4000006721</v>
      </c>
      <c r="C14" s="90" t="s">
        <v>381</v>
      </c>
      <c r="D14" s="89">
        <v>3</v>
      </c>
      <c r="E14" s="88" t="s">
        <v>379</v>
      </c>
      <c r="F14" s="88" t="s">
        <v>380</v>
      </c>
      <c r="G14" s="88" t="s">
        <v>378</v>
      </c>
      <c r="H14" s="88">
        <v>4</v>
      </c>
      <c r="I14" s="92">
        <f t="shared" si="1"/>
        <v>1689.6000000000001</v>
      </c>
      <c r="J14" s="93">
        <f t="shared" si="0"/>
        <v>6758.4000000000005</v>
      </c>
      <c r="K14" s="85">
        <v>12</v>
      </c>
      <c r="L14" s="94">
        <v>10</v>
      </c>
      <c r="M14" s="85"/>
    </row>
    <row r="15" spans="1:13" x14ac:dyDescent="0.3">
      <c r="A15" s="88">
        <v>13</v>
      </c>
      <c r="B15" s="89">
        <v>4000018825</v>
      </c>
      <c r="C15" s="90" t="s">
        <v>384</v>
      </c>
      <c r="D15" s="89">
        <v>5</v>
      </c>
      <c r="E15" s="88" t="s">
        <v>382</v>
      </c>
      <c r="F15" s="88" t="s">
        <v>361</v>
      </c>
      <c r="G15" s="88" t="s">
        <v>378</v>
      </c>
      <c r="H15" s="88">
        <v>2</v>
      </c>
      <c r="I15" s="92">
        <f t="shared" si="1"/>
        <v>11264</v>
      </c>
      <c r="J15" s="93">
        <f t="shared" si="0"/>
        <v>22528</v>
      </c>
      <c r="K15" s="85">
        <v>80</v>
      </c>
      <c r="L15" s="94">
        <v>65</v>
      </c>
      <c r="M15" s="85"/>
    </row>
    <row r="16" spans="1:13" x14ac:dyDescent="0.3">
      <c r="A16" s="88">
        <v>14</v>
      </c>
      <c r="B16" s="89">
        <v>4000018832</v>
      </c>
      <c r="C16" s="90" t="s">
        <v>383</v>
      </c>
      <c r="D16" s="89">
        <v>6</v>
      </c>
      <c r="E16" s="88" t="s">
        <v>382</v>
      </c>
      <c r="F16" s="88" t="s">
        <v>361</v>
      </c>
      <c r="G16" s="88" t="s">
        <v>378</v>
      </c>
      <c r="H16" s="88">
        <v>1</v>
      </c>
      <c r="I16" s="92">
        <f t="shared" si="1"/>
        <v>2112</v>
      </c>
      <c r="J16" s="93">
        <f t="shared" si="0"/>
        <v>2112</v>
      </c>
      <c r="K16" s="85">
        <v>15</v>
      </c>
      <c r="L16" s="94">
        <v>10</v>
      </c>
      <c r="M16" s="85"/>
    </row>
    <row r="17" spans="1:13" x14ac:dyDescent="0.3">
      <c r="A17" s="88">
        <v>15</v>
      </c>
      <c r="B17" s="254" t="s">
        <v>98</v>
      </c>
      <c r="C17" s="255"/>
      <c r="D17" s="255"/>
      <c r="E17" s="255"/>
      <c r="F17" s="255"/>
      <c r="G17" s="255"/>
      <c r="H17" s="255"/>
      <c r="I17" s="256"/>
      <c r="J17" s="97">
        <f>SUM(J2:J16)</f>
        <v>624940.80000000005</v>
      </c>
      <c r="K17" s="85"/>
      <c r="L17" s="85"/>
      <c r="M17" s="85"/>
    </row>
    <row r="18" spans="1:13" x14ac:dyDescent="0.3">
      <c r="A18" s="88">
        <v>16</v>
      </c>
      <c r="B18" s="237" t="s">
        <v>99</v>
      </c>
      <c r="C18" s="237"/>
      <c r="D18" s="237"/>
      <c r="E18" s="237"/>
      <c r="F18" s="237"/>
      <c r="G18" s="237"/>
      <c r="H18" s="237"/>
      <c r="I18" s="237"/>
      <c r="J18" s="97">
        <f>J17*18%</f>
        <v>112489.344</v>
      </c>
      <c r="K18" s="85"/>
      <c r="L18" s="85"/>
      <c r="M18" s="85"/>
    </row>
    <row r="19" spans="1:13" ht="14.4" thickBot="1" x14ac:dyDescent="0.35">
      <c r="A19" s="88">
        <v>17</v>
      </c>
      <c r="B19" s="237" t="s">
        <v>9</v>
      </c>
      <c r="C19" s="237"/>
      <c r="D19" s="237"/>
      <c r="E19" s="237"/>
      <c r="F19" s="237"/>
      <c r="G19" s="237"/>
      <c r="H19" s="237"/>
      <c r="I19" s="237"/>
      <c r="J19" s="97">
        <f>J17+J18</f>
        <v>737430.14400000009</v>
      </c>
      <c r="K19" s="85"/>
      <c r="L19" s="85"/>
      <c r="M19" s="85"/>
    </row>
    <row r="20" spans="1:13" x14ac:dyDescent="0.3">
      <c r="A20" s="98"/>
      <c r="B20" s="238"/>
      <c r="C20" s="238"/>
      <c r="D20" s="238"/>
      <c r="E20" s="238"/>
      <c r="F20" s="238"/>
      <c r="G20" s="238"/>
      <c r="H20" s="238"/>
      <c r="I20" s="238"/>
      <c r="J20" s="239"/>
      <c r="K20" s="99"/>
      <c r="L20" s="85"/>
      <c r="M20" s="85"/>
    </row>
    <row r="21" spans="1:13" s="95" customFormat="1" x14ac:dyDescent="0.3">
      <c r="A21" s="240" t="s">
        <v>12</v>
      </c>
      <c r="B21" s="241"/>
      <c r="C21" s="241"/>
      <c r="D21" s="241"/>
      <c r="E21" s="241"/>
      <c r="F21" s="241"/>
      <c r="G21" s="241"/>
      <c r="H21" s="241"/>
      <c r="I21" s="241"/>
      <c r="J21" s="242"/>
      <c r="K21" s="100"/>
      <c r="L21" s="85"/>
    </row>
    <row r="22" spans="1:13" s="95" customFormat="1" ht="124.2" x14ac:dyDescent="0.3">
      <c r="A22" s="101" t="s">
        <v>13</v>
      </c>
      <c r="B22" s="232" t="s">
        <v>502</v>
      </c>
      <c r="C22" s="232"/>
      <c r="D22" s="232"/>
      <c r="E22" s="232"/>
      <c r="F22" s="232"/>
      <c r="G22" s="232"/>
      <c r="H22" s="232"/>
      <c r="I22" s="232"/>
      <c r="J22" s="233"/>
      <c r="K22" s="102"/>
      <c r="L22" s="85"/>
    </row>
  </sheetData>
  <mergeCells count="7">
    <mergeCell ref="B22:J22"/>
    <mergeCell ref="A1:F1"/>
    <mergeCell ref="B17:I17"/>
    <mergeCell ref="B18:I18"/>
    <mergeCell ref="B19:I19"/>
    <mergeCell ref="B20:J20"/>
    <mergeCell ref="A21:J21"/>
  </mergeCells>
  <hyperlinks>
    <hyperlink ref="B21" r:id="rId1" display="CST@2%" xr:uid="{00000000-0004-0000-2D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31"/>
  <sheetViews>
    <sheetView topLeftCell="A7" workbookViewId="0">
      <selection activeCell="B22" sqref="B22"/>
    </sheetView>
  </sheetViews>
  <sheetFormatPr defaultColWidth="9.109375" defaultRowHeight="13.8" x14ac:dyDescent="0.3"/>
  <cols>
    <col min="1" max="1" width="6.109375" style="87" customWidth="1"/>
    <col min="2" max="2" width="22.6640625" style="95" bestFit="1" customWidth="1"/>
    <col min="3" max="3" width="22.6640625" style="95" customWidth="1"/>
    <col min="4" max="4" width="8" style="95" bestFit="1" customWidth="1"/>
    <col min="5" max="5" width="14.109375" style="96" bestFit="1" customWidth="1"/>
    <col min="6" max="6" width="14.33203125" style="96" bestFit="1" customWidth="1"/>
    <col min="7" max="7" width="9" style="96" bestFit="1" customWidth="1"/>
    <col min="8" max="8" width="8.5546875" style="96" customWidth="1"/>
    <col min="9" max="9" width="13.33203125" style="96" customWidth="1"/>
    <col min="10" max="10" width="13.33203125" style="96" bestFit="1" customWidth="1"/>
    <col min="11" max="11" width="13.44140625" style="96" bestFit="1" customWidth="1"/>
    <col min="12" max="12" width="11" style="103" bestFit="1" customWidth="1"/>
    <col min="13" max="13" width="10.44140625" style="103" bestFit="1" customWidth="1"/>
    <col min="14" max="14" width="18.6640625" style="103" bestFit="1" customWidth="1"/>
    <col min="15" max="15" width="10.5546875" style="96" bestFit="1" customWidth="1"/>
    <col min="16" max="16384" width="9.109375" style="96"/>
  </cols>
  <sheetData>
    <row r="1" spans="1:14" s="87" customFormat="1" ht="14.4" thickBot="1" x14ac:dyDescent="0.35">
      <c r="A1" s="234"/>
      <c r="B1" s="235"/>
      <c r="C1" s="235"/>
      <c r="D1" s="235"/>
      <c r="E1" s="235"/>
      <c r="F1" s="236"/>
      <c r="G1" s="82"/>
      <c r="H1" s="83"/>
      <c r="I1" s="83"/>
      <c r="J1" s="84"/>
      <c r="K1" s="85"/>
      <c r="L1" s="85"/>
      <c r="M1" s="86"/>
      <c r="N1" s="86"/>
    </row>
    <row r="2" spans="1:14" s="81" customFormat="1" x14ac:dyDescent="0.3">
      <c r="A2" s="78" t="s">
        <v>0</v>
      </c>
      <c r="B2" s="79" t="s">
        <v>358</v>
      </c>
      <c r="C2" s="79" t="s">
        <v>286</v>
      </c>
      <c r="D2" s="78" t="s">
        <v>287</v>
      </c>
      <c r="E2" s="78" t="s">
        <v>288</v>
      </c>
      <c r="F2" s="78" t="s">
        <v>320</v>
      </c>
      <c r="G2" s="78" t="s">
        <v>347</v>
      </c>
      <c r="H2" s="78" t="s">
        <v>3</v>
      </c>
      <c r="I2" s="78" t="s">
        <v>6</v>
      </c>
      <c r="J2" s="78" t="s">
        <v>154</v>
      </c>
      <c r="K2" s="78" t="s">
        <v>504</v>
      </c>
      <c r="L2" s="80" t="s">
        <v>61</v>
      </c>
      <c r="M2" s="80" t="s">
        <v>193</v>
      </c>
      <c r="N2" s="80" t="s">
        <v>327</v>
      </c>
    </row>
    <row r="3" spans="1:14" x14ac:dyDescent="0.3">
      <c r="A3" s="88">
        <v>1</v>
      </c>
      <c r="B3" s="89">
        <v>4000018809</v>
      </c>
      <c r="C3" s="90" t="s">
        <v>389</v>
      </c>
      <c r="D3" s="126" t="s">
        <v>386</v>
      </c>
      <c r="E3" s="88" t="s">
        <v>387</v>
      </c>
      <c r="F3" s="88" t="s">
        <v>388</v>
      </c>
      <c r="G3" s="88" t="s">
        <v>263</v>
      </c>
      <c r="H3" s="88">
        <v>48</v>
      </c>
      <c r="I3" s="92">
        <f>L3*90*1.6</f>
        <v>3600</v>
      </c>
      <c r="J3" s="93">
        <f>I3*H3</f>
        <v>172800</v>
      </c>
      <c r="K3" s="88"/>
      <c r="L3" s="85">
        <v>25</v>
      </c>
      <c r="M3" s="94">
        <v>20</v>
      </c>
      <c r="N3" s="85"/>
    </row>
    <row r="4" spans="1:14" ht="41.4" x14ac:dyDescent="0.3">
      <c r="A4" s="88">
        <v>2</v>
      </c>
      <c r="B4" s="89">
        <v>4000018114</v>
      </c>
      <c r="C4" s="90" t="s">
        <v>392</v>
      </c>
      <c r="D4" s="89">
        <v>21</v>
      </c>
      <c r="E4" s="88" t="s">
        <v>390</v>
      </c>
      <c r="F4" s="88" t="s">
        <v>391</v>
      </c>
      <c r="G4" s="88" t="s">
        <v>263</v>
      </c>
      <c r="H4" s="88">
        <v>48</v>
      </c>
      <c r="I4" s="92">
        <f t="shared" ref="I4:I15" si="0">L4*88*1.6</f>
        <v>1408</v>
      </c>
      <c r="J4" s="93">
        <f t="shared" ref="J4:J15" si="1">I4*H4</f>
        <v>67584</v>
      </c>
      <c r="K4" s="89"/>
      <c r="L4" s="85">
        <v>10</v>
      </c>
      <c r="M4" s="94">
        <v>8</v>
      </c>
      <c r="N4" s="85"/>
    </row>
    <row r="5" spans="1:14" ht="41.4" x14ac:dyDescent="0.3">
      <c r="A5" s="88">
        <v>3</v>
      </c>
      <c r="B5" s="89">
        <v>4000018092</v>
      </c>
      <c r="C5" s="90" t="s">
        <v>424</v>
      </c>
      <c r="D5" s="89">
        <v>3</v>
      </c>
      <c r="E5" s="88" t="s">
        <v>422</v>
      </c>
      <c r="F5" s="88" t="s">
        <v>423</v>
      </c>
      <c r="G5" s="88" t="s">
        <v>263</v>
      </c>
      <c r="H5" s="88">
        <v>56</v>
      </c>
      <c r="I5" s="92">
        <f t="shared" si="0"/>
        <v>1126.4000000000001</v>
      </c>
      <c r="J5" s="93">
        <f t="shared" si="1"/>
        <v>63078.400000000009</v>
      </c>
      <c r="K5" s="89"/>
      <c r="L5" s="85">
        <v>8</v>
      </c>
      <c r="M5" s="94">
        <v>6</v>
      </c>
      <c r="N5" s="85"/>
    </row>
    <row r="6" spans="1:14" x14ac:dyDescent="0.3">
      <c r="A6" s="88">
        <v>4</v>
      </c>
      <c r="B6" s="89">
        <v>4000016137</v>
      </c>
      <c r="C6" s="90" t="s">
        <v>427</v>
      </c>
      <c r="D6" s="89">
        <v>4</v>
      </c>
      <c r="E6" s="88" t="s">
        <v>425</v>
      </c>
      <c r="F6" s="88" t="s">
        <v>426</v>
      </c>
      <c r="G6" s="88" t="s">
        <v>263</v>
      </c>
      <c r="H6" s="88">
        <v>1</v>
      </c>
      <c r="I6" s="92">
        <f t="shared" si="0"/>
        <v>42240</v>
      </c>
      <c r="J6" s="93">
        <f t="shared" si="1"/>
        <v>42240</v>
      </c>
      <c r="K6" s="88"/>
      <c r="L6" s="85">
        <v>300</v>
      </c>
      <c r="M6" s="94">
        <v>280</v>
      </c>
      <c r="N6" s="85"/>
    </row>
    <row r="7" spans="1:14" ht="41.4" x14ac:dyDescent="0.3">
      <c r="A7" s="88">
        <v>5</v>
      </c>
      <c r="B7" s="89">
        <v>4000001536</v>
      </c>
      <c r="C7" s="90" t="s">
        <v>428</v>
      </c>
      <c r="D7" s="89"/>
      <c r="E7" s="89" t="s">
        <v>421</v>
      </c>
      <c r="F7" s="88" t="s">
        <v>395</v>
      </c>
      <c r="G7" s="88" t="s">
        <v>263</v>
      </c>
      <c r="H7" s="88">
        <v>1</v>
      </c>
      <c r="I7" s="92">
        <f t="shared" si="0"/>
        <v>30976</v>
      </c>
      <c r="J7" s="93">
        <f t="shared" si="1"/>
        <v>30976</v>
      </c>
      <c r="K7" s="88"/>
      <c r="L7" s="85">
        <v>220</v>
      </c>
      <c r="M7" s="94">
        <v>190</v>
      </c>
      <c r="N7" s="85"/>
    </row>
    <row r="8" spans="1:14" ht="41.4" x14ac:dyDescent="0.3">
      <c r="A8" s="88">
        <v>6</v>
      </c>
      <c r="B8" s="89">
        <v>4000001534</v>
      </c>
      <c r="C8" s="90" t="s">
        <v>419</v>
      </c>
      <c r="D8" s="89"/>
      <c r="E8" s="89" t="s">
        <v>420</v>
      </c>
      <c r="F8" s="88" t="s">
        <v>395</v>
      </c>
      <c r="G8" s="88" t="s">
        <v>263</v>
      </c>
      <c r="H8" s="88">
        <v>1</v>
      </c>
      <c r="I8" s="92">
        <f t="shared" si="0"/>
        <v>29568</v>
      </c>
      <c r="J8" s="93">
        <f t="shared" si="1"/>
        <v>29568</v>
      </c>
      <c r="K8" s="88"/>
      <c r="L8" s="85">
        <v>210</v>
      </c>
      <c r="M8" s="94">
        <v>180</v>
      </c>
      <c r="N8" s="85"/>
    </row>
    <row r="9" spans="1:14" ht="41.4" x14ac:dyDescent="0.3">
      <c r="A9" s="88">
        <v>7</v>
      </c>
      <c r="B9" s="89">
        <v>4000018826</v>
      </c>
      <c r="C9" s="90" t="s">
        <v>417</v>
      </c>
      <c r="D9" s="89" t="s">
        <v>415</v>
      </c>
      <c r="E9" s="88" t="s">
        <v>416</v>
      </c>
      <c r="F9" s="88" t="s">
        <v>418</v>
      </c>
      <c r="G9" s="88" t="s">
        <v>345</v>
      </c>
      <c r="H9" s="88">
        <v>2</v>
      </c>
      <c r="I9" s="92">
        <f t="shared" si="0"/>
        <v>281600</v>
      </c>
      <c r="J9" s="93">
        <f t="shared" si="1"/>
        <v>563200</v>
      </c>
      <c r="K9" s="88" t="s">
        <v>503</v>
      </c>
      <c r="L9" s="85">
        <v>2000</v>
      </c>
      <c r="M9" s="94">
        <v>1780</v>
      </c>
      <c r="N9" s="85"/>
    </row>
    <row r="10" spans="1:14" ht="27.6" x14ac:dyDescent="0.3">
      <c r="A10" s="88">
        <v>8</v>
      </c>
      <c r="B10" s="89">
        <v>4000018114</v>
      </c>
      <c r="C10" s="90" t="s">
        <v>412</v>
      </c>
      <c r="D10" s="89">
        <v>21</v>
      </c>
      <c r="E10" s="88" t="s">
        <v>390</v>
      </c>
      <c r="F10" s="88" t="s">
        <v>395</v>
      </c>
      <c r="G10" s="88" t="s">
        <v>263</v>
      </c>
      <c r="H10" s="88">
        <v>30</v>
      </c>
      <c r="I10" s="92">
        <f t="shared" si="0"/>
        <v>1408</v>
      </c>
      <c r="J10" s="93">
        <f t="shared" si="1"/>
        <v>42240</v>
      </c>
      <c r="K10" s="88"/>
      <c r="L10" s="85">
        <v>10</v>
      </c>
      <c r="M10" s="94">
        <v>8</v>
      </c>
      <c r="N10" s="85"/>
    </row>
    <row r="11" spans="1:14" x14ac:dyDescent="0.3">
      <c r="A11" s="88">
        <v>9</v>
      </c>
      <c r="B11" s="89">
        <v>4000018810</v>
      </c>
      <c r="C11" s="90" t="s">
        <v>413</v>
      </c>
      <c r="D11" s="89">
        <v>22</v>
      </c>
      <c r="E11" s="88" t="s">
        <v>390</v>
      </c>
      <c r="F11" s="88" t="s">
        <v>395</v>
      </c>
      <c r="G11" s="88" t="s">
        <v>263</v>
      </c>
      <c r="H11" s="88">
        <v>30</v>
      </c>
      <c r="I11" s="92">
        <f t="shared" si="0"/>
        <v>844.80000000000007</v>
      </c>
      <c r="J11" s="93">
        <f t="shared" si="1"/>
        <v>25344.000000000004</v>
      </c>
      <c r="K11" s="88"/>
      <c r="L11" s="85">
        <v>6</v>
      </c>
      <c r="M11" s="94">
        <v>3</v>
      </c>
      <c r="N11" s="85"/>
    </row>
    <row r="12" spans="1:14" ht="27.6" x14ac:dyDescent="0.3">
      <c r="A12" s="88">
        <v>10</v>
      </c>
      <c r="B12" s="89">
        <v>4000018116</v>
      </c>
      <c r="C12" s="90" t="s">
        <v>414</v>
      </c>
      <c r="D12" s="89">
        <v>23</v>
      </c>
      <c r="E12" s="88" t="s">
        <v>390</v>
      </c>
      <c r="F12" s="88" t="s">
        <v>395</v>
      </c>
      <c r="G12" s="88" t="s">
        <v>263</v>
      </c>
      <c r="H12" s="88">
        <v>20</v>
      </c>
      <c r="I12" s="92">
        <f t="shared" si="0"/>
        <v>1408</v>
      </c>
      <c r="J12" s="93">
        <f t="shared" si="1"/>
        <v>28160</v>
      </c>
      <c r="K12" s="88"/>
      <c r="L12" s="85">
        <v>10</v>
      </c>
      <c r="M12" s="94">
        <v>6</v>
      </c>
      <c r="N12" s="85"/>
    </row>
    <row r="13" spans="1:14" ht="41.4" x14ac:dyDescent="0.3">
      <c r="A13" s="88">
        <v>11</v>
      </c>
      <c r="B13" s="89">
        <v>4000003538</v>
      </c>
      <c r="C13" s="90" t="s">
        <v>406</v>
      </c>
      <c r="D13" s="89"/>
      <c r="E13" s="88" t="s">
        <v>411</v>
      </c>
      <c r="F13" s="88" t="s">
        <v>395</v>
      </c>
      <c r="G13" s="88" t="s">
        <v>263</v>
      </c>
      <c r="H13" s="88">
        <v>16</v>
      </c>
      <c r="I13" s="92">
        <f t="shared" si="0"/>
        <v>6336</v>
      </c>
      <c r="J13" s="93">
        <f t="shared" si="1"/>
        <v>101376</v>
      </c>
      <c r="K13" s="88"/>
      <c r="L13" s="85">
        <v>45</v>
      </c>
      <c r="M13" s="94">
        <v>35</v>
      </c>
      <c r="N13" s="85"/>
    </row>
    <row r="14" spans="1:14" ht="27.6" x14ac:dyDescent="0.3">
      <c r="A14" s="88">
        <v>12</v>
      </c>
      <c r="B14" s="89">
        <v>4000018117</v>
      </c>
      <c r="C14" s="90" t="s">
        <v>409</v>
      </c>
      <c r="D14" s="89">
        <v>25</v>
      </c>
      <c r="E14" s="88" t="s">
        <v>390</v>
      </c>
      <c r="F14" s="88" t="s">
        <v>395</v>
      </c>
      <c r="G14" s="88" t="s">
        <v>263</v>
      </c>
      <c r="H14" s="88">
        <v>20</v>
      </c>
      <c r="I14" s="92">
        <f t="shared" si="0"/>
        <v>1408</v>
      </c>
      <c r="J14" s="93">
        <f t="shared" si="1"/>
        <v>28160</v>
      </c>
      <c r="K14" s="88"/>
      <c r="L14" s="85">
        <v>10</v>
      </c>
      <c r="M14" s="94">
        <v>6</v>
      </c>
      <c r="N14" s="85"/>
    </row>
    <row r="15" spans="1:14" ht="41.4" x14ac:dyDescent="0.3">
      <c r="A15" s="88">
        <v>13</v>
      </c>
      <c r="B15" s="89">
        <v>4000018118</v>
      </c>
      <c r="C15" s="90" t="s">
        <v>410</v>
      </c>
      <c r="D15" s="89">
        <v>26</v>
      </c>
      <c r="E15" s="88" t="s">
        <v>390</v>
      </c>
      <c r="F15" s="88" t="s">
        <v>395</v>
      </c>
      <c r="G15" s="88" t="s">
        <v>263</v>
      </c>
      <c r="H15" s="88">
        <v>30</v>
      </c>
      <c r="I15" s="92">
        <f t="shared" si="0"/>
        <v>1408</v>
      </c>
      <c r="J15" s="93">
        <f t="shared" si="1"/>
        <v>42240</v>
      </c>
      <c r="K15" s="88"/>
      <c r="L15" s="85">
        <v>10</v>
      </c>
      <c r="M15" s="94">
        <v>6</v>
      </c>
      <c r="N15" s="85"/>
    </row>
    <row r="16" spans="1:14" ht="41.4" x14ac:dyDescent="0.3">
      <c r="A16" s="88">
        <v>14</v>
      </c>
      <c r="B16" s="89">
        <v>4000018102</v>
      </c>
      <c r="C16" s="90" t="s">
        <v>408</v>
      </c>
      <c r="D16" s="89">
        <v>5</v>
      </c>
      <c r="E16" s="88" t="s">
        <v>390</v>
      </c>
      <c r="F16" s="88" t="s">
        <v>395</v>
      </c>
      <c r="G16" s="88" t="s">
        <v>263</v>
      </c>
      <c r="H16" s="88">
        <v>20</v>
      </c>
      <c r="I16" s="92">
        <f t="shared" ref="I16:I25" si="2">L16*88*1.6</f>
        <v>1408</v>
      </c>
      <c r="J16" s="93">
        <f t="shared" ref="J16:J25" si="3">I16*H16</f>
        <v>28160</v>
      </c>
      <c r="K16" s="88"/>
      <c r="L16" s="85">
        <v>10</v>
      </c>
      <c r="M16" s="94">
        <v>6</v>
      </c>
      <c r="N16" s="85"/>
    </row>
    <row r="17" spans="1:14" ht="27.6" x14ac:dyDescent="0.3">
      <c r="A17" s="88">
        <v>15</v>
      </c>
      <c r="B17" s="89">
        <v>4000018103</v>
      </c>
      <c r="C17" s="90" t="s">
        <v>407</v>
      </c>
      <c r="D17" s="89">
        <v>5</v>
      </c>
      <c r="E17" s="88" t="s">
        <v>390</v>
      </c>
      <c r="F17" s="88" t="s">
        <v>395</v>
      </c>
      <c r="G17" s="88" t="s">
        <v>263</v>
      </c>
      <c r="H17" s="88">
        <v>30</v>
      </c>
      <c r="I17" s="92">
        <f t="shared" si="2"/>
        <v>1408</v>
      </c>
      <c r="J17" s="93">
        <f t="shared" si="3"/>
        <v>42240</v>
      </c>
      <c r="K17" s="88"/>
      <c r="L17" s="85">
        <v>10</v>
      </c>
      <c r="M17" s="94">
        <v>5</v>
      </c>
      <c r="N17" s="85"/>
    </row>
    <row r="18" spans="1:14" ht="41.4" x14ac:dyDescent="0.3">
      <c r="A18" s="88">
        <v>16</v>
      </c>
      <c r="B18" s="89">
        <v>4000003729</v>
      </c>
      <c r="C18" s="90" t="s">
        <v>406</v>
      </c>
      <c r="D18" s="89"/>
      <c r="E18" s="88" t="s">
        <v>405</v>
      </c>
      <c r="F18" s="88" t="s">
        <v>395</v>
      </c>
      <c r="G18" s="88" t="s">
        <v>263</v>
      </c>
      <c r="H18" s="88">
        <v>30</v>
      </c>
      <c r="I18" s="92">
        <f t="shared" si="2"/>
        <v>2816</v>
      </c>
      <c r="J18" s="93">
        <f t="shared" si="3"/>
        <v>84480</v>
      </c>
      <c r="K18" s="88"/>
      <c r="L18" s="85">
        <v>20</v>
      </c>
      <c r="M18" s="94">
        <v>15</v>
      </c>
      <c r="N18" s="85"/>
    </row>
    <row r="19" spans="1:14" x14ac:dyDescent="0.3">
      <c r="A19" s="88">
        <v>17</v>
      </c>
      <c r="B19" s="89">
        <v>7000001427</v>
      </c>
      <c r="C19" s="90" t="s">
        <v>393</v>
      </c>
      <c r="D19" s="89"/>
      <c r="E19" s="88"/>
      <c r="F19" s="88"/>
      <c r="G19" s="88" t="s">
        <v>263</v>
      </c>
      <c r="H19" s="88">
        <v>16</v>
      </c>
      <c r="I19" s="92">
        <f t="shared" si="2"/>
        <v>1126.4000000000001</v>
      </c>
      <c r="J19" s="93">
        <f t="shared" si="3"/>
        <v>18022.400000000001</v>
      </c>
      <c r="K19" s="88"/>
      <c r="L19" s="85">
        <v>8</v>
      </c>
      <c r="M19" s="94">
        <v>5</v>
      </c>
      <c r="N19" s="85"/>
    </row>
    <row r="20" spans="1:14" ht="27.6" x14ac:dyDescent="0.3">
      <c r="A20" s="88">
        <v>18</v>
      </c>
      <c r="B20" s="89">
        <v>4000018811</v>
      </c>
      <c r="C20" s="90" t="s">
        <v>404</v>
      </c>
      <c r="D20" s="89">
        <v>9</v>
      </c>
      <c r="E20" s="88" t="s">
        <v>403</v>
      </c>
      <c r="F20" s="88" t="s">
        <v>395</v>
      </c>
      <c r="G20" s="88" t="s">
        <v>263</v>
      </c>
      <c r="H20" s="88">
        <v>30</v>
      </c>
      <c r="I20" s="92">
        <f t="shared" si="2"/>
        <v>281.60000000000002</v>
      </c>
      <c r="J20" s="93">
        <f t="shared" si="3"/>
        <v>8448</v>
      </c>
      <c r="K20" s="88"/>
      <c r="L20" s="85">
        <v>2</v>
      </c>
      <c r="M20" s="94">
        <v>1</v>
      </c>
      <c r="N20" s="85"/>
    </row>
    <row r="21" spans="1:14" ht="27.6" x14ac:dyDescent="0.3">
      <c r="A21" s="88">
        <v>19</v>
      </c>
      <c r="B21" s="89">
        <v>4000018812</v>
      </c>
      <c r="C21" s="90" t="s">
        <v>402</v>
      </c>
      <c r="D21" s="89">
        <v>10</v>
      </c>
      <c r="E21" s="88" t="s">
        <v>401</v>
      </c>
      <c r="F21" s="88" t="s">
        <v>395</v>
      </c>
      <c r="G21" s="88" t="s">
        <v>263</v>
      </c>
      <c r="H21" s="88">
        <v>8</v>
      </c>
      <c r="I21" s="92">
        <f t="shared" si="2"/>
        <v>5632</v>
      </c>
      <c r="J21" s="93">
        <f t="shared" si="3"/>
        <v>45056</v>
      </c>
      <c r="K21" s="88"/>
      <c r="L21" s="85">
        <v>40</v>
      </c>
      <c r="M21" s="94">
        <v>30</v>
      </c>
      <c r="N21" s="85"/>
    </row>
    <row r="22" spans="1:14" ht="27.6" x14ac:dyDescent="0.3">
      <c r="A22" s="88">
        <v>20</v>
      </c>
      <c r="B22" s="89">
        <v>4000018813</v>
      </c>
      <c r="C22" s="90" t="s">
        <v>400</v>
      </c>
      <c r="D22" s="89">
        <v>11</v>
      </c>
      <c r="E22" s="88" t="s">
        <v>399</v>
      </c>
      <c r="F22" s="88" t="s">
        <v>395</v>
      </c>
      <c r="G22" s="88" t="s">
        <v>263</v>
      </c>
      <c r="H22" s="88">
        <v>4</v>
      </c>
      <c r="I22" s="92">
        <f t="shared" si="2"/>
        <v>2112</v>
      </c>
      <c r="J22" s="93">
        <f t="shared" si="3"/>
        <v>8448</v>
      </c>
      <c r="K22" s="88"/>
      <c r="L22" s="85">
        <v>15</v>
      </c>
      <c r="M22" s="94">
        <v>10</v>
      </c>
      <c r="N22" s="85"/>
    </row>
    <row r="23" spans="1:14" ht="27.6" x14ac:dyDescent="0.3">
      <c r="A23" s="88">
        <v>21</v>
      </c>
      <c r="B23" s="89">
        <v>4000018109</v>
      </c>
      <c r="C23" s="90" t="s">
        <v>398</v>
      </c>
      <c r="D23" s="89">
        <v>13</v>
      </c>
      <c r="E23" s="88" t="s">
        <v>390</v>
      </c>
      <c r="F23" s="88" t="s">
        <v>395</v>
      </c>
      <c r="G23" s="88" t="s">
        <v>263</v>
      </c>
      <c r="H23" s="88">
        <v>16</v>
      </c>
      <c r="I23" s="92">
        <f t="shared" si="2"/>
        <v>1408</v>
      </c>
      <c r="J23" s="93">
        <f t="shared" si="3"/>
        <v>22528</v>
      </c>
      <c r="K23" s="88"/>
      <c r="L23" s="85">
        <v>10</v>
      </c>
      <c r="M23" s="94">
        <v>5</v>
      </c>
      <c r="N23" s="85"/>
    </row>
    <row r="24" spans="1:14" ht="27.6" x14ac:dyDescent="0.3">
      <c r="A24" s="88">
        <v>22</v>
      </c>
      <c r="B24" s="89">
        <v>4000018814</v>
      </c>
      <c r="C24" s="90" t="s">
        <v>397</v>
      </c>
      <c r="D24" s="89">
        <v>12</v>
      </c>
      <c r="E24" s="88" t="s">
        <v>396</v>
      </c>
      <c r="F24" s="88" t="s">
        <v>395</v>
      </c>
      <c r="G24" s="88" t="s">
        <v>263</v>
      </c>
      <c r="H24" s="88">
        <v>4</v>
      </c>
      <c r="I24" s="92">
        <f t="shared" si="2"/>
        <v>704</v>
      </c>
      <c r="J24" s="93">
        <f t="shared" si="3"/>
        <v>2816</v>
      </c>
      <c r="K24" s="88"/>
      <c r="L24" s="85">
        <v>5</v>
      </c>
      <c r="M24" s="94">
        <v>1</v>
      </c>
      <c r="N24" s="85"/>
    </row>
    <row r="25" spans="1:14" ht="41.4" x14ac:dyDescent="0.3">
      <c r="A25" s="88">
        <v>23</v>
      </c>
      <c r="B25" s="89">
        <v>4000018110</v>
      </c>
      <c r="C25" s="90" t="s">
        <v>394</v>
      </c>
      <c r="D25" s="89">
        <v>14</v>
      </c>
      <c r="E25" s="88" t="s">
        <v>390</v>
      </c>
      <c r="F25" s="88" t="s">
        <v>395</v>
      </c>
      <c r="G25" s="88" t="s">
        <v>263</v>
      </c>
      <c r="H25" s="88">
        <v>12</v>
      </c>
      <c r="I25" s="92">
        <f t="shared" si="2"/>
        <v>1408</v>
      </c>
      <c r="J25" s="93">
        <f t="shared" si="3"/>
        <v>16896</v>
      </c>
      <c r="K25" s="88"/>
      <c r="L25" s="85">
        <v>10</v>
      </c>
      <c r="M25" s="94">
        <v>5</v>
      </c>
      <c r="N25" s="85"/>
    </row>
    <row r="26" spans="1:14" x14ac:dyDescent="0.3">
      <c r="A26" s="88">
        <v>24</v>
      </c>
      <c r="B26" s="254" t="s">
        <v>98</v>
      </c>
      <c r="C26" s="255"/>
      <c r="D26" s="255"/>
      <c r="E26" s="255"/>
      <c r="F26" s="255"/>
      <c r="G26" s="255"/>
      <c r="H26" s="255"/>
      <c r="I26" s="256"/>
      <c r="J26" s="97">
        <f>SUM(J2:J25)</f>
        <v>1514060.7999999998</v>
      </c>
      <c r="K26" s="85"/>
      <c r="L26" s="85"/>
      <c r="M26" s="85"/>
      <c r="N26" s="85"/>
    </row>
    <row r="27" spans="1:14" x14ac:dyDescent="0.3">
      <c r="A27" s="88">
        <v>25</v>
      </c>
      <c r="B27" s="237" t="s">
        <v>99</v>
      </c>
      <c r="C27" s="237"/>
      <c r="D27" s="237"/>
      <c r="E27" s="237"/>
      <c r="F27" s="237"/>
      <c r="G27" s="237"/>
      <c r="H27" s="237"/>
      <c r="I27" s="237"/>
      <c r="J27" s="97">
        <f>J26*18%</f>
        <v>272530.94399999996</v>
      </c>
      <c r="K27" s="85"/>
      <c r="L27" s="85"/>
      <c r="M27" s="85"/>
      <c r="N27" s="85"/>
    </row>
    <row r="28" spans="1:14" ht="14.4" thickBot="1" x14ac:dyDescent="0.35">
      <c r="A28" s="88">
        <v>26</v>
      </c>
      <c r="B28" s="237" t="s">
        <v>9</v>
      </c>
      <c r="C28" s="237"/>
      <c r="D28" s="237"/>
      <c r="E28" s="237"/>
      <c r="F28" s="237"/>
      <c r="G28" s="237"/>
      <c r="H28" s="237"/>
      <c r="I28" s="237"/>
      <c r="J28" s="97">
        <f>J26+J27</f>
        <v>1786591.7439999997</v>
      </c>
      <c r="K28" s="85"/>
      <c r="L28" s="85"/>
      <c r="M28" s="85"/>
      <c r="N28" s="85"/>
    </row>
    <row r="29" spans="1:14" x14ac:dyDescent="0.3">
      <c r="A29" s="98"/>
      <c r="B29" s="238" t="s">
        <v>505</v>
      </c>
      <c r="C29" s="238"/>
      <c r="D29" s="238"/>
      <c r="E29" s="238"/>
      <c r="F29" s="238"/>
      <c r="G29" s="238"/>
      <c r="H29" s="238"/>
      <c r="I29" s="238"/>
      <c r="J29" s="239"/>
      <c r="K29" s="85"/>
      <c r="L29" s="99"/>
      <c r="M29" s="85"/>
      <c r="N29" s="85"/>
    </row>
    <row r="30" spans="1:14" s="95" customFormat="1" x14ac:dyDescent="0.3">
      <c r="A30" s="240" t="s">
        <v>12</v>
      </c>
      <c r="B30" s="241"/>
      <c r="C30" s="241"/>
      <c r="D30" s="241"/>
      <c r="E30" s="241"/>
      <c r="F30" s="241"/>
      <c r="G30" s="241"/>
      <c r="H30" s="241"/>
      <c r="I30" s="241"/>
      <c r="J30" s="242"/>
      <c r="K30" s="85"/>
      <c r="L30" s="100"/>
      <c r="M30" s="85"/>
    </row>
    <row r="31" spans="1:14" s="95" customFormat="1" ht="117" customHeight="1" x14ac:dyDescent="0.3">
      <c r="A31" s="101" t="s">
        <v>13</v>
      </c>
      <c r="B31" s="232" t="s">
        <v>502</v>
      </c>
      <c r="C31" s="232"/>
      <c r="D31" s="232"/>
      <c r="E31" s="232"/>
      <c r="F31" s="232"/>
      <c r="G31" s="232"/>
      <c r="H31" s="232"/>
      <c r="I31" s="232"/>
      <c r="J31" s="233"/>
      <c r="K31" s="85"/>
      <c r="L31" s="102"/>
      <c r="M31" s="85"/>
    </row>
  </sheetData>
  <mergeCells count="7">
    <mergeCell ref="B31:J31"/>
    <mergeCell ref="A1:F1"/>
    <mergeCell ref="B26:I26"/>
    <mergeCell ref="B27:I27"/>
    <mergeCell ref="B28:I28"/>
    <mergeCell ref="B29:J29"/>
    <mergeCell ref="A30:J30"/>
  </mergeCells>
  <hyperlinks>
    <hyperlink ref="B30" r:id="rId1" display="CST@2%" xr:uid="{00000000-0004-0000-2E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16"/>
  <sheetViews>
    <sheetView workbookViewId="0">
      <selection activeCell="B16" sqref="B16:H16"/>
    </sheetView>
  </sheetViews>
  <sheetFormatPr defaultColWidth="9.109375" defaultRowHeight="13.8" x14ac:dyDescent="0.3"/>
  <cols>
    <col min="1" max="1" width="6.109375" style="87" customWidth="1"/>
    <col min="2" max="2" width="22.6640625" style="95" bestFit="1" customWidth="1"/>
    <col min="3" max="3" width="22.6640625" style="95" customWidth="1"/>
    <col min="4" max="4" width="46.5546875" style="95" customWidth="1"/>
    <col min="5" max="5" width="9" style="96" bestFit="1" customWidth="1"/>
    <col min="6" max="6" width="8.5546875" style="96" customWidth="1"/>
    <col min="7" max="7" width="13.33203125" style="96" customWidth="1"/>
    <col min="8" max="8" width="13.33203125" style="96" bestFit="1" customWidth="1"/>
    <col min="9" max="9" width="11" style="103" bestFit="1" customWidth="1"/>
    <col min="10" max="10" width="10.44140625" style="103" bestFit="1" customWidth="1"/>
    <col min="11" max="11" width="18.6640625" style="103" bestFit="1" customWidth="1"/>
    <col min="12" max="12" width="10.5546875" style="96" bestFit="1" customWidth="1"/>
    <col min="13" max="16384" width="9.109375" style="96"/>
  </cols>
  <sheetData>
    <row r="1" spans="1:11" s="87" customFormat="1" x14ac:dyDescent="0.3">
      <c r="A1" s="234"/>
      <c r="B1" s="235"/>
      <c r="C1" s="235"/>
      <c r="D1" s="235"/>
      <c r="E1" s="134"/>
      <c r="F1" s="135"/>
      <c r="G1" s="135"/>
      <c r="H1" s="136"/>
      <c r="I1" s="85"/>
      <c r="J1" s="86"/>
      <c r="K1" s="86"/>
    </row>
    <row r="2" spans="1:11" s="81" customFormat="1" x14ac:dyDescent="0.3">
      <c r="A2" s="137" t="s">
        <v>0</v>
      </c>
      <c r="B2" s="137" t="s">
        <v>358</v>
      </c>
      <c r="C2" s="137" t="s">
        <v>286</v>
      </c>
      <c r="D2" s="137" t="s">
        <v>431</v>
      </c>
      <c r="E2" s="137" t="s">
        <v>347</v>
      </c>
      <c r="F2" s="137" t="s">
        <v>3</v>
      </c>
      <c r="G2" s="137" t="s">
        <v>6</v>
      </c>
      <c r="H2" s="137" t="s">
        <v>154</v>
      </c>
      <c r="I2" s="80" t="s">
        <v>61</v>
      </c>
      <c r="J2" s="80" t="s">
        <v>193</v>
      </c>
      <c r="K2" s="80" t="s">
        <v>327</v>
      </c>
    </row>
    <row r="3" spans="1:11" ht="55.2" x14ac:dyDescent="0.3">
      <c r="A3" s="138">
        <v>1</v>
      </c>
      <c r="B3" s="139">
        <v>4000009725</v>
      </c>
      <c r="C3" s="140" t="s">
        <v>429</v>
      </c>
      <c r="D3" s="141" t="s">
        <v>430</v>
      </c>
      <c r="E3" s="138" t="s">
        <v>263</v>
      </c>
      <c r="F3" s="138">
        <v>10</v>
      </c>
      <c r="G3" s="142">
        <f>I3*94*1.6</f>
        <v>2256</v>
      </c>
      <c r="H3" s="143">
        <f>G3*F3</f>
        <v>22560</v>
      </c>
      <c r="I3" s="85">
        <v>15</v>
      </c>
      <c r="J3" s="94">
        <v>6</v>
      </c>
      <c r="K3" s="85"/>
    </row>
    <row r="4" spans="1:11" x14ac:dyDescent="0.3">
      <c r="A4" s="138">
        <v>2</v>
      </c>
      <c r="B4" s="139">
        <v>7000000397</v>
      </c>
      <c r="C4" s="140" t="s">
        <v>434</v>
      </c>
      <c r="D4" s="140" t="s">
        <v>433</v>
      </c>
      <c r="E4" s="138" t="s">
        <v>263</v>
      </c>
      <c r="F4" s="138">
        <v>10</v>
      </c>
      <c r="G4" s="142">
        <f t="shared" ref="G4:G10" si="0">I4*88*1.6</f>
        <v>1408</v>
      </c>
      <c r="H4" s="143">
        <f t="shared" ref="H4:H10" si="1">G4*F4</f>
        <v>14080</v>
      </c>
      <c r="I4" s="85">
        <v>10</v>
      </c>
      <c r="J4" s="94">
        <v>2</v>
      </c>
      <c r="K4" s="85"/>
    </row>
    <row r="5" spans="1:11" ht="27.6" x14ac:dyDescent="0.3">
      <c r="A5" s="138">
        <v>3</v>
      </c>
      <c r="B5" s="139">
        <v>7000003383</v>
      </c>
      <c r="C5" s="140" t="s">
        <v>435</v>
      </c>
      <c r="D5" s="140" t="s">
        <v>436</v>
      </c>
      <c r="E5" s="138" t="s">
        <v>263</v>
      </c>
      <c r="F5" s="138">
        <v>40</v>
      </c>
      <c r="G5" s="142">
        <f t="shared" si="0"/>
        <v>3520</v>
      </c>
      <c r="H5" s="143">
        <f t="shared" si="1"/>
        <v>140800</v>
      </c>
      <c r="I5" s="85">
        <v>25</v>
      </c>
      <c r="J5" s="94">
        <v>15</v>
      </c>
      <c r="K5" s="85"/>
    </row>
    <row r="6" spans="1:11" ht="27.6" x14ac:dyDescent="0.3">
      <c r="A6" s="138">
        <v>4</v>
      </c>
      <c r="B6" s="139">
        <v>4000001035</v>
      </c>
      <c r="C6" s="140" t="s">
        <v>437</v>
      </c>
      <c r="D6" s="140" t="s">
        <v>440</v>
      </c>
      <c r="E6" s="138" t="s">
        <v>263</v>
      </c>
      <c r="F6" s="138">
        <v>20</v>
      </c>
      <c r="G6" s="142">
        <f t="shared" si="0"/>
        <v>16896</v>
      </c>
      <c r="H6" s="143">
        <f t="shared" si="1"/>
        <v>337920</v>
      </c>
      <c r="I6" s="85">
        <v>120</v>
      </c>
      <c r="J6" s="94">
        <v>80</v>
      </c>
      <c r="K6" s="85"/>
    </row>
    <row r="7" spans="1:11" ht="41.4" x14ac:dyDescent="0.3">
      <c r="A7" s="138">
        <v>5</v>
      </c>
      <c r="B7" s="139">
        <v>4000009725</v>
      </c>
      <c r="C7" s="140" t="s">
        <v>439</v>
      </c>
      <c r="D7" s="140" t="s">
        <v>438</v>
      </c>
      <c r="E7" s="138" t="s">
        <v>263</v>
      </c>
      <c r="F7" s="138">
        <v>38</v>
      </c>
      <c r="G7" s="142">
        <f t="shared" si="0"/>
        <v>1689.6000000000001</v>
      </c>
      <c r="H7" s="143">
        <f t="shared" si="1"/>
        <v>64204.800000000003</v>
      </c>
      <c r="I7" s="85">
        <v>12</v>
      </c>
      <c r="J7" s="94">
        <v>5</v>
      </c>
      <c r="K7" s="85"/>
    </row>
    <row r="8" spans="1:11" x14ac:dyDescent="0.3">
      <c r="A8" s="138">
        <v>6</v>
      </c>
      <c r="B8" s="139">
        <v>7000000397</v>
      </c>
      <c r="C8" s="140" t="s">
        <v>441</v>
      </c>
      <c r="D8" s="140" t="s">
        <v>432</v>
      </c>
      <c r="E8" s="138" t="s">
        <v>263</v>
      </c>
      <c r="F8" s="138">
        <v>48</v>
      </c>
      <c r="G8" s="142">
        <f t="shared" si="0"/>
        <v>1408</v>
      </c>
      <c r="H8" s="143">
        <f t="shared" si="1"/>
        <v>67584</v>
      </c>
      <c r="I8" s="85">
        <v>10</v>
      </c>
      <c r="J8" s="94">
        <v>2</v>
      </c>
      <c r="K8" s="85"/>
    </row>
    <row r="9" spans="1:11" ht="27.6" x14ac:dyDescent="0.3">
      <c r="A9" s="138">
        <v>7</v>
      </c>
      <c r="B9" s="139">
        <v>7000003383</v>
      </c>
      <c r="C9" s="140" t="s">
        <v>435</v>
      </c>
      <c r="D9" s="140" t="s">
        <v>436</v>
      </c>
      <c r="E9" s="138" t="s">
        <v>263</v>
      </c>
      <c r="F9" s="138">
        <v>48</v>
      </c>
      <c r="G9" s="142">
        <f t="shared" si="0"/>
        <v>3520</v>
      </c>
      <c r="H9" s="143">
        <f t="shared" si="1"/>
        <v>168960</v>
      </c>
      <c r="I9" s="85">
        <v>25</v>
      </c>
      <c r="J9" s="94">
        <v>15</v>
      </c>
      <c r="K9" s="85"/>
    </row>
    <row r="10" spans="1:11" ht="27.6" x14ac:dyDescent="0.3">
      <c r="A10" s="138">
        <v>8</v>
      </c>
      <c r="B10" s="139">
        <v>4000016375</v>
      </c>
      <c r="C10" s="140" t="s">
        <v>442</v>
      </c>
      <c r="D10" s="140" t="s">
        <v>443</v>
      </c>
      <c r="E10" s="138" t="s">
        <v>263</v>
      </c>
      <c r="F10" s="138">
        <v>12</v>
      </c>
      <c r="G10" s="142">
        <f t="shared" si="0"/>
        <v>14080</v>
      </c>
      <c r="H10" s="143">
        <f t="shared" si="1"/>
        <v>168960</v>
      </c>
      <c r="I10" s="85">
        <v>100</v>
      </c>
      <c r="J10" s="94">
        <v>80</v>
      </c>
      <c r="K10" s="85"/>
    </row>
    <row r="11" spans="1:11" x14ac:dyDescent="0.3">
      <c r="A11" s="138">
        <v>9</v>
      </c>
      <c r="B11" s="267" t="s">
        <v>98</v>
      </c>
      <c r="C11" s="267"/>
      <c r="D11" s="267"/>
      <c r="E11" s="267"/>
      <c r="F11" s="267"/>
      <c r="G11" s="267"/>
      <c r="H11" s="144">
        <f>SUM(H2:H10)</f>
        <v>985068.8</v>
      </c>
      <c r="I11" s="85"/>
      <c r="J11" s="85"/>
      <c r="K11" s="85"/>
    </row>
    <row r="12" spans="1:11" x14ac:dyDescent="0.3">
      <c r="A12" s="138">
        <v>10</v>
      </c>
      <c r="B12" s="267" t="s">
        <v>99</v>
      </c>
      <c r="C12" s="267"/>
      <c r="D12" s="267"/>
      <c r="E12" s="267"/>
      <c r="F12" s="267"/>
      <c r="G12" s="267"/>
      <c r="H12" s="144">
        <f>H11*18%</f>
        <v>177312.38399999999</v>
      </c>
      <c r="I12" s="85"/>
      <c r="J12" s="85"/>
      <c r="K12" s="85"/>
    </row>
    <row r="13" spans="1:11" x14ac:dyDescent="0.3">
      <c r="A13" s="138">
        <v>11</v>
      </c>
      <c r="B13" s="267" t="s">
        <v>9</v>
      </c>
      <c r="C13" s="267"/>
      <c r="D13" s="267"/>
      <c r="E13" s="267"/>
      <c r="F13" s="267"/>
      <c r="G13" s="267"/>
      <c r="H13" s="144">
        <f>H11+H12</f>
        <v>1162381.1840000001</v>
      </c>
      <c r="I13" s="85"/>
      <c r="J13" s="85"/>
      <c r="K13" s="85"/>
    </row>
    <row r="14" spans="1:11" x14ac:dyDescent="0.3">
      <c r="A14" s="145"/>
      <c r="B14" s="266"/>
      <c r="C14" s="266"/>
      <c r="D14" s="266"/>
      <c r="E14" s="266"/>
      <c r="F14" s="266"/>
      <c r="G14" s="266"/>
      <c r="H14" s="266"/>
      <c r="I14" s="99"/>
      <c r="J14" s="85"/>
      <c r="K14" s="85"/>
    </row>
    <row r="15" spans="1:11" s="95" customFormat="1" x14ac:dyDescent="0.3">
      <c r="A15" s="268" t="s">
        <v>12</v>
      </c>
      <c r="B15" s="268"/>
      <c r="C15" s="268"/>
      <c r="D15" s="268"/>
      <c r="E15" s="268"/>
      <c r="F15" s="268"/>
      <c r="G15" s="268"/>
      <c r="H15" s="268"/>
      <c r="I15" s="100"/>
      <c r="J15" s="85"/>
    </row>
    <row r="16" spans="1:11" s="95" customFormat="1" ht="117" customHeight="1" x14ac:dyDescent="0.3">
      <c r="A16" s="146" t="s">
        <v>13</v>
      </c>
      <c r="B16" s="266" t="s">
        <v>502</v>
      </c>
      <c r="C16" s="266"/>
      <c r="D16" s="266"/>
      <c r="E16" s="266"/>
      <c r="F16" s="266"/>
      <c r="G16" s="266"/>
      <c r="H16" s="266"/>
      <c r="I16" s="132"/>
      <c r="J16" s="133"/>
    </row>
  </sheetData>
  <mergeCells count="7">
    <mergeCell ref="B16:H16"/>
    <mergeCell ref="A1:D1"/>
    <mergeCell ref="B11:G11"/>
    <mergeCell ref="B12:G12"/>
    <mergeCell ref="B13:G13"/>
    <mergeCell ref="B14:H14"/>
    <mergeCell ref="A15:H15"/>
  </mergeCells>
  <hyperlinks>
    <hyperlink ref="B15" r:id="rId1" display="CST@2%" xr:uid="{00000000-0004-0000-2F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L21"/>
  <sheetViews>
    <sheetView topLeftCell="A7" workbookViewId="0">
      <selection activeCell="B21" sqref="B21:I21"/>
    </sheetView>
  </sheetViews>
  <sheetFormatPr defaultColWidth="9.109375" defaultRowHeight="13.8" x14ac:dyDescent="0.3"/>
  <cols>
    <col min="1" max="1" width="6.109375" style="87" customWidth="1"/>
    <col min="2" max="2" width="22.6640625" style="95" bestFit="1" customWidth="1"/>
    <col min="3" max="3" width="22.6640625" style="95" customWidth="1"/>
    <col min="4" max="4" width="18.33203125" style="95" customWidth="1"/>
    <col min="5" max="5" width="55.5546875" style="102" customWidth="1"/>
    <col min="6" max="6" width="9" style="96" bestFit="1" customWidth="1"/>
    <col min="7" max="7" width="8.5546875" style="96" customWidth="1"/>
    <col min="8" max="8" width="13.33203125" style="96" customWidth="1"/>
    <col min="9" max="9" width="13.33203125" style="96" bestFit="1" customWidth="1"/>
    <col min="10" max="10" width="11" style="103" bestFit="1" customWidth="1"/>
    <col min="11" max="11" width="10.44140625" style="103" bestFit="1" customWidth="1"/>
    <col min="12" max="12" width="18.6640625" style="103" bestFit="1" customWidth="1"/>
    <col min="13" max="13" width="10.5546875" style="96" bestFit="1" customWidth="1"/>
    <col min="14" max="16384" width="9.109375" style="96"/>
  </cols>
  <sheetData>
    <row r="1" spans="1:12" s="87" customFormat="1" ht="14.4" thickBot="1" x14ac:dyDescent="0.35">
      <c r="A1" s="234"/>
      <c r="B1" s="235"/>
      <c r="C1" s="235"/>
      <c r="D1" s="235"/>
      <c r="E1" s="235"/>
      <c r="F1" s="82"/>
      <c r="G1" s="83"/>
      <c r="H1" s="83"/>
      <c r="I1" s="84"/>
      <c r="J1" s="85"/>
      <c r="K1" s="86"/>
      <c r="L1" s="86"/>
    </row>
    <row r="2" spans="1:12" s="81" customFormat="1" x14ac:dyDescent="0.3">
      <c r="A2" s="78" t="s">
        <v>0</v>
      </c>
      <c r="B2" s="79" t="s">
        <v>358</v>
      </c>
      <c r="C2" s="79" t="s">
        <v>286</v>
      </c>
      <c r="D2" s="79" t="s">
        <v>465</v>
      </c>
      <c r="E2" s="78" t="s">
        <v>457</v>
      </c>
      <c r="F2" s="78" t="s">
        <v>347</v>
      </c>
      <c r="G2" s="78" t="s">
        <v>3</v>
      </c>
      <c r="H2" s="78" t="s">
        <v>6</v>
      </c>
      <c r="I2" s="78" t="s">
        <v>154</v>
      </c>
      <c r="J2" s="80" t="s">
        <v>61</v>
      </c>
      <c r="K2" s="80" t="s">
        <v>193</v>
      </c>
      <c r="L2" s="80" t="s">
        <v>327</v>
      </c>
    </row>
    <row r="3" spans="1:12" ht="41.4" x14ac:dyDescent="0.3">
      <c r="A3" s="88">
        <v>1</v>
      </c>
      <c r="B3" s="89">
        <v>4000000560</v>
      </c>
      <c r="C3" s="90" t="s">
        <v>458</v>
      </c>
      <c r="D3" s="90" t="s">
        <v>462</v>
      </c>
      <c r="E3" s="127" t="s">
        <v>444</v>
      </c>
      <c r="F3" s="88" t="s">
        <v>346</v>
      </c>
      <c r="G3" s="88">
        <v>2</v>
      </c>
      <c r="H3" s="92">
        <f>J3*94*1.6</f>
        <v>1504</v>
      </c>
      <c r="I3" s="93">
        <f>H3*G3</f>
        <v>3008</v>
      </c>
      <c r="J3" s="85">
        <v>10</v>
      </c>
      <c r="K3" s="94">
        <v>6</v>
      </c>
      <c r="L3" s="85"/>
    </row>
    <row r="4" spans="1:12" ht="27.6" x14ac:dyDescent="0.3">
      <c r="A4" s="88">
        <v>2</v>
      </c>
      <c r="B4" s="89">
        <v>4000000561</v>
      </c>
      <c r="C4" s="90" t="s">
        <v>459</v>
      </c>
      <c r="D4" s="90" t="s">
        <v>463</v>
      </c>
      <c r="E4" s="90" t="s">
        <v>445</v>
      </c>
      <c r="F4" s="88" t="s">
        <v>346</v>
      </c>
      <c r="G4" s="88">
        <v>12</v>
      </c>
      <c r="H4" s="92">
        <f t="shared" ref="H4:H15" si="0">J4*88*1.6</f>
        <v>1408</v>
      </c>
      <c r="I4" s="93">
        <f t="shared" ref="I4:I15" si="1">H4*G4</f>
        <v>16896</v>
      </c>
      <c r="J4" s="85">
        <v>10</v>
      </c>
      <c r="K4" s="94">
        <v>5</v>
      </c>
      <c r="L4" s="85"/>
    </row>
    <row r="5" spans="1:12" ht="41.4" x14ac:dyDescent="0.3">
      <c r="A5" s="88">
        <v>3</v>
      </c>
      <c r="B5" s="89">
        <v>4000000557</v>
      </c>
      <c r="C5" s="90" t="s">
        <v>460</v>
      </c>
      <c r="D5" s="90" t="s">
        <v>464</v>
      </c>
      <c r="E5" s="90" t="s">
        <v>446</v>
      </c>
      <c r="F5" s="88" t="s">
        <v>346</v>
      </c>
      <c r="G5" s="88">
        <v>4</v>
      </c>
      <c r="H5" s="92">
        <f t="shared" si="0"/>
        <v>1408</v>
      </c>
      <c r="I5" s="93">
        <f t="shared" si="1"/>
        <v>5632</v>
      </c>
      <c r="J5" s="85">
        <v>10</v>
      </c>
      <c r="K5" s="94">
        <v>6</v>
      </c>
      <c r="L5" s="85"/>
    </row>
    <row r="6" spans="1:12" ht="27.6" x14ac:dyDescent="0.3">
      <c r="A6" s="88">
        <v>4</v>
      </c>
      <c r="B6" s="89">
        <v>4000001555</v>
      </c>
      <c r="C6" s="90" t="s">
        <v>461</v>
      </c>
      <c r="D6" s="90" t="s">
        <v>468</v>
      </c>
      <c r="E6" s="90" t="s">
        <v>447</v>
      </c>
      <c r="F6" s="88" t="s">
        <v>346</v>
      </c>
      <c r="G6" s="88">
        <v>2</v>
      </c>
      <c r="H6" s="92">
        <f t="shared" si="0"/>
        <v>80256</v>
      </c>
      <c r="I6" s="93">
        <f t="shared" si="1"/>
        <v>160512</v>
      </c>
      <c r="J6" s="85">
        <v>570</v>
      </c>
      <c r="K6" s="94">
        <v>470</v>
      </c>
      <c r="L6" s="85"/>
    </row>
    <row r="7" spans="1:12" ht="27.6" x14ac:dyDescent="0.3">
      <c r="A7" s="88">
        <v>5</v>
      </c>
      <c r="B7" s="89">
        <v>4000001469</v>
      </c>
      <c r="C7" s="90" t="s">
        <v>461</v>
      </c>
      <c r="D7" s="90" t="s">
        <v>466</v>
      </c>
      <c r="E7" s="90" t="s">
        <v>448</v>
      </c>
      <c r="F7" s="88" t="s">
        <v>346</v>
      </c>
      <c r="G7" s="88">
        <v>4</v>
      </c>
      <c r="H7" s="92">
        <f t="shared" si="0"/>
        <v>80256</v>
      </c>
      <c r="I7" s="93">
        <f t="shared" si="1"/>
        <v>321024</v>
      </c>
      <c r="J7" s="85">
        <v>570</v>
      </c>
      <c r="K7" s="94">
        <v>470</v>
      </c>
      <c r="L7" s="85"/>
    </row>
    <row r="8" spans="1:12" ht="27.6" x14ac:dyDescent="0.3">
      <c r="A8" s="88">
        <v>6</v>
      </c>
      <c r="B8" s="89">
        <v>4000001470</v>
      </c>
      <c r="C8" s="90" t="s">
        <v>461</v>
      </c>
      <c r="D8" s="90" t="s">
        <v>508</v>
      </c>
      <c r="E8" s="90" t="s">
        <v>449</v>
      </c>
      <c r="F8" s="88" t="s">
        <v>346</v>
      </c>
      <c r="G8" s="88">
        <v>4</v>
      </c>
      <c r="H8" s="92">
        <f t="shared" si="0"/>
        <v>80256</v>
      </c>
      <c r="I8" s="93">
        <f t="shared" si="1"/>
        <v>321024</v>
      </c>
      <c r="J8" s="85">
        <v>570</v>
      </c>
      <c r="K8" s="94">
        <v>470</v>
      </c>
      <c r="L8" s="85"/>
    </row>
    <row r="9" spans="1:12" ht="27.6" x14ac:dyDescent="0.3">
      <c r="A9" s="88">
        <v>7</v>
      </c>
      <c r="B9" s="89">
        <v>4000001471</v>
      </c>
      <c r="C9" s="90" t="s">
        <v>461</v>
      </c>
      <c r="D9" s="90" t="s">
        <v>467</v>
      </c>
      <c r="E9" s="90" t="s">
        <v>450</v>
      </c>
      <c r="F9" s="88" t="s">
        <v>346</v>
      </c>
      <c r="G9" s="88">
        <v>2</v>
      </c>
      <c r="H9" s="92">
        <f t="shared" si="0"/>
        <v>80256</v>
      </c>
      <c r="I9" s="93">
        <f t="shared" si="1"/>
        <v>160512</v>
      </c>
      <c r="J9" s="85">
        <v>570</v>
      </c>
      <c r="K9" s="94">
        <v>470</v>
      </c>
      <c r="L9" s="85"/>
    </row>
    <row r="10" spans="1:12" ht="27.6" x14ac:dyDescent="0.3">
      <c r="A10" s="88">
        <v>8</v>
      </c>
      <c r="B10" s="89">
        <v>4000000565</v>
      </c>
      <c r="C10" s="90" t="s">
        <v>469</v>
      </c>
      <c r="D10" s="90" t="s">
        <v>470</v>
      </c>
      <c r="E10" s="90" t="s">
        <v>451</v>
      </c>
      <c r="F10" s="88" t="s">
        <v>346</v>
      </c>
      <c r="G10" s="88">
        <v>2</v>
      </c>
      <c r="H10" s="92">
        <f t="shared" si="0"/>
        <v>140800</v>
      </c>
      <c r="I10" s="93">
        <f t="shared" si="1"/>
        <v>281600</v>
      </c>
      <c r="J10" s="85">
        <v>1000</v>
      </c>
      <c r="K10" s="94">
        <v>730</v>
      </c>
      <c r="L10" s="85"/>
    </row>
    <row r="11" spans="1:12" ht="27.6" x14ac:dyDescent="0.3">
      <c r="A11" s="88">
        <v>9</v>
      </c>
      <c r="B11" s="89">
        <v>4000018241</v>
      </c>
      <c r="C11" s="90" t="s">
        <v>471</v>
      </c>
      <c r="D11" s="90" t="s">
        <v>472</v>
      </c>
      <c r="E11" s="90" t="s">
        <v>452</v>
      </c>
      <c r="F11" s="88" t="s">
        <v>346</v>
      </c>
      <c r="G11" s="88">
        <v>1</v>
      </c>
      <c r="H11" s="92">
        <f t="shared" si="0"/>
        <v>1126400</v>
      </c>
      <c r="I11" s="93">
        <f t="shared" si="1"/>
        <v>1126400</v>
      </c>
      <c r="J11" s="85">
        <v>8000</v>
      </c>
      <c r="K11" s="94">
        <v>4680</v>
      </c>
      <c r="L11" s="85"/>
    </row>
    <row r="12" spans="1:12" ht="27.6" x14ac:dyDescent="0.3">
      <c r="A12" s="88">
        <v>10</v>
      </c>
      <c r="B12" s="89">
        <v>4000018242</v>
      </c>
      <c r="C12" s="90" t="s">
        <v>473</v>
      </c>
      <c r="D12" s="90" t="s">
        <v>474</v>
      </c>
      <c r="E12" s="90" t="s">
        <v>453</v>
      </c>
      <c r="F12" s="88" t="s">
        <v>346</v>
      </c>
      <c r="G12" s="88">
        <v>1</v>
      </c>
      <c r="H12" s="92">
        <f t="shared" si="0"/>
        <v>1126400</v>
      </c>
      <c r="I12" s="93">
        <f t="shared" si="1"/>
        <v>1126400</v>
      </c>
      <c r="J12" s="85">
        <v>8000</v>
      </c>
      <c r="K12" s="94">
        <v>4680</v>
      </c>
      <c r="L12" s="85"/>
    </row>
    <row r="13" spans="1:12" ht="27.6" x14ac:dyDescent="0.3">
      <c r="A13" s="88">
        <v>11</v>
      </c>
      <c r="B13" s="89">
        <v>4000002025</v>
      </c>
      <c r="C13" s="90" t="s">
        <v>469</v>
      </c>
      <c r="D13" s="90" t="s">
        <v>475</v>
      </c>
      <c r="E13" s="90" t="s">
        <v>454</v>
      </c>
      <c r="F13" s="88" t="s">
        <v>346</v>
      </c>
      <c r="G13" s="88">
        <v>1</v>
      </c>
      <c r="H13" s="92">
        <f t="shared" si="0"/>
        <v>140800</v>
      </c>
      <c r="I13" s="93">
        <f t="shared" si="1"/>
        <v>140800</v>
      </c>
      <c r="J13" s="85">
        <v>1000</v>
      </c>
      <c r="K13" s="94">
        <v>730</v>
      </c>
      <c r="L13" s="85"/>
    </row>
    <row r="14" spans="1:12" ht="41.4" x14ac:dyDescent="0.3">
      <c r="A14" s="88">
        <v>12</v>
      </c>
      <c r="B14" s="89">
        <v>4000002026</v>
      </c>
      <c r="C14" s="90" t="s">
        <v>506</v>
      </c>
      <c r="D14" s="90" t="s">
        <v>476</v>
      </c>
      <c r="E14" s="90" t="s">
        <v>455</v>
      </c>
      <c r="F14" s="88" t="s">
        <v>346</v>
      </c>
      <c r="G14" s="88">
        <v>2</v>
      </c>
      <c r="H14" s="92">
        <f t="shared" si="0"/>
        <v>140800</v>
      </c>
      <c r="I14" s="93">
        <f t="shared" si="1"/>
        <v>281600</v>
      </c>
      <c r="J14" s="85">
        <v>1000</v>
      </c>
      <c r="K14" s="94">
        <v>730</v>
      </c>
      <c r="L14" s="85"/>
    </row>
    <row r="15" spans="1:12" ht="41.4" x14ac:dyDescent="0.3">
      <c r="A15" s="88">
        <v>13</v>
      </c>
      <c r="B15" s="89">
        <v>4000002021</v>
      </c>
      <c r="C15" s="90" t="s">
        <v>507</v>
      </c>
      <c r="D15" s="90" t="s">
        <v>477</v>
      </c>
      <c r="E15" s="90" t="s">
        <v>456</v>
      </c>
      <c r="F15" s="88" t="s">
        <v>345</v>
      </c>
      <c r="G15" s="88">
        <v>2</v>
      </c>
      <c r="H15" s="92">
        <f t="shared" si="0"/>
        <v>140800</v>
      </c>
      <c r="I15" s="93">
        <f t="shared" si="1"/>
        <v>281600</v>
      </c>
      <c r="J15" s="85">
        <v>1000</v>
      </c>
      <c r="K15" s="94">
        <v>730</v>
      </c>
      <c r="L15" s="85"/>
    </row>
    <row r="16" spans="1:12" x14ac:dyDescent="0.3">
      <c r="A16" s="88">
        <v>14</v>
      </c>
      <c r="B16" s="254" t="s">
        <v>98</v>
      </c>
      <c r="C16" s="255"/>
      <c r="D16" s="255"/>
      <c r="E16" s="255"/>
      <c r="F16" s="255"/>
      <c r="G16" s="255"/>
      <c r="H16" s="256"/>
      <c r="I16" s="97">
        <f>SUM(I2:I15)</f>
        <v>4227008</v>
      </c>
      <c r="J16" s="85"/>
      <c r="K16" s="85"/>
      <c r="L16" s="85"/>
    </row>
    <row r="17" spans="1:12" x14ac:dyDescent="0.3">
      <c r="A17" s="88">
        <v>15</v>
      </c>
      <c r="B17" s="237" t="s">
        <v>99</v>
      </c>
      <c r="C17" s="237"/>
      <c r="D17" s="237"/>
      <c r="E17" s="237"/>
      <c r="F17" s="237"/>
      <c r="G17" s="237"/>
      <c r="H17" s="237"/>
      <c r="I17" s="97">
        <f>I16*18%</f>
        <v>760861.44</v>
      </c>
      <c r="J17" s="85"/>
      <c r="K17" s="85"/>
      <c r="L17" s="85"/>
    </row>
    <row r="18" spans="1:12" ht="14.4" thickBot="1" x14ac:dyDescent="0.35">
      <c r="A18" s="88">
        <v>16</v>
      </c>
      <c r="B18" s="237" t="s">
        <v>9</v>
      </c>
      <c r="C18" s="237"/>
      <c r="D18" s="237"/>
      <c r="E18" s="237"/>
      <c r="F18" s="237"/>
      <c r="G18" s="237"/>
      <c r="H18" s="237"/>
      <c r="I18" s="97">
        <f>I16+I17</f>
        <v>4987869.4399999995</v>
      </c>
      <c r="J18" s="85"/>
      <c r="K18" s="85"/>
      <c r="L18" s="85"/>
    </row>
    <row r="19" spans="1:12" x14ac:dyDescent="0.3">
      <c r="A19" s="98"/>
      <c r="B19" s="269" t="s">
        <v>509</v>
      </c>
      <c r="C19" s="269"/>
      <c r="D19" s="269"/>
      <c r="E19" s="269"/>
      <c r="F19" s="269"/>
      <c r="G19" s="269"/>
      <c r="H19" s="269"/>
      <c r="I19" s="270"/>
      <c r="J19" s="99"/>
      <c r="K19" s="85"/>
      <c r="L19" s="85"/>
    </row>
    <row r="20" spans="1:12" s="95" customFormat="1" x14ac:dyDescent="0.3">
      <c r="A20" s="240" t="s">
        <v>12</v>
      </c>
      <c r="B20" s="241"/>
      <c r="C20" s="241"/>
      <c r="D20" s="241"/>
      <c r="E20" s="241"/>
      <c r="F20" s="241"/>
      <c r="G20" s="241"/>
      <c r="H20" s="241"/>
      <c r="I20" s="242"/>
      <c r="J20" s="100"/>
      <c r="K20" s="85"/>
    </row>
    <row r="21" spans="1:12" s="95" customFormat="1" ht="124.2" x14ac:dyDescent="0.3">
      <c r="A21" s="101" t="s">
        <v>13</v>
      </c>
      <c r="B21" s="232" t="s">
        <v>502</v>
      </c>
      <c r="C21" s="232"/>
      <c r="D21" s="232"/>
      <c r="E21" s="232"/>
      <c r="F21" s="232"/>
      <c r="G21" s="232"/>
      <c r="H21" s="232"/>
      <c r="I21" s="233"/>
      <c r="J21" s="102"/>
      <c r="K21" s="85"/>
    </row>
  </sheetData>
  <mergeCells count="7">
    <mergeCell ref="B21:I21"/>
    <mergeCell ref="A1:E1"/>
    <mergeCell ref="B16:H16"/>
    <mergeCell ref="B17:H17"/>
    <mergeCell ref="B18:H18"/>
    <mergeCell ref="B19:I19"/>
    <mergeCell ref="A20:I20"/>
  </mergeCells>
  <hyperlinks>
    <hyperlink ref="B20" r:id="rId1" display="CST@2%" xr:uid="{00000000-0004-0000-30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10"/>
  <sheetViews>
    <sheetView workbookViewId="0">
      <selection activeCell="B8" sqref="B8:H8"/>
    </sheetView>
  </sheetViews>
  <sheetFormatPr defaultColWidth="9.109375" defaultRowHeight="13.8" x14ac:dyDescent="0.3"/>
  <cols>
    <col min="1" max="1" width="6.109375" style="87" customWidth="1"/>
    <col min="2" max="2" width="14.5546875" style="95" bestFit="1" customWidth="1"/>
    <col min="3" max="3" width="22.6640625" style="95" customWidth="1"/>
    <col min="4" max="4" width="46.5546875" style="95" customWidth="1"/>
    <col min="5" max="5" width="4.6640625" style="96" bestFit="1" customWidth="1"/>
    <col min="6" max="6" width="4" style="96" bestFit="1" customWidth="1"/>
    <col min="7" max="7" width="13.33203125" style="96" customWidth="1"/>
    <col min="8" max="8" width="13.33203125" style="96" bestFit="1" customWidth="1"/>
    <col min="9" max="9" width="11" style="103" bestFit="1" customWidth="1"/>
    <col min="10" max="10" width="10.44140625" style="103" bestFit="1" customWidth="1"/>
    <col min="11" max="11" width="18.6640625" style="103" bestFit="1" customWidth="1"/>
    <col min="12" max="12" width="10.5546875" style="96" bestFit="1" customWidth="1"/>
    <col min="13" max="16384" width="9.109375" style="96"/>
  </cols>
  <sheetData>
    <row r="1" spans="1:11" s="87" customFormat="1" ht="14.4" thickBot="1" x14ac:dyDescent="0.35">
      <c r="A1" s="234"/>
      <c r="B1" s="235"/>
      <c r="C1" s="235"/>
      <c r="D1" s="235"/>
      <c r="E1" s="82"/>
      <c r="F1" s="83"/>
      <c r="G1" s="83"/>
      <c r="H1" s="84"/>
      <c r="I1" s="85"/>
      <c r="J1" s="86"/>
      <c r="K1" s="86"/>
    </row>
    <row r="2" spans="1:11" s="81" customFormat="1" x14ac:dyDescent="0.3">
      <c r="A2" s="78" t="s">
        <v>0</v>
      </c>
      <c r="B2" s="79" t="s">
        <v>358</v>
      </c>
      <c r="C2" s="79" t="s">
        <v>286</v>
      </c>
      <c r="D2" s="78" t="s">
        <v>431</v>
      </c>
      <c r="E2" s="78" t="s">
        <v>347</v>
      </c>
      <c r="F2" s="78" t="s">
        <v>3</v>
      </c>
      <c r="G2" s="78" t="s">
        <v>6</v>
      </c>
      <c r="H2" s="78" t="s">
        <v>154</v>
      </c>
      <c r="I2" s="80" t="s">
        <v>61</v>
      </c>
      <c r="J2" s="80" t="s">
        <v>193</v>
      </c>
      <c r="K2" s="80" t="s">
        <v>327</v>
      </c>
    </row>
    <row r="3" spans="1:11" ht="41.4" x14ac:dyDescent="0.3">
      <c r="A3" s="88">
        <v>1</v>
      </c>
      <c r="B3" s="89">
        <v>4000009594</v>
      </c>
      <c r="C3" s="90" t="s">
        <v>478</v>
      </c>
      <c r="D3" s="127" t="s">
        <v>481</v>
      </c>
      <c r="E3" s="88" t="s">
        <v>263</v>
      </c>
      <c r="F3" s="88">
        <v>2</v>
      </c>
      <c r="G3" s="92">
        <f>I3*90*1.42</f>
        <v>396180</v>
      </c>
      <c r="H3" s="93">
        <f>G3*F3</f>
        <v>792360</v>
      </c>
      <c r="I3" s="85">
        <v>3100</v>
      </c>
      <c r="J3" s="94">
        <v>2670</v>
      </c>
      <c r="K3" s="85"/>
    </row>
    <row r="4" spans="1:11" ht="41.4" x14ac:dyDescent="0.3">
      <c r="A4" s="88">
        <v>2</v>
      </c>
      <c r="B4" s="89">
        <v>4000009595</v>
      </c>
      <c r="C4" s="90" t="s">
        <v>479</v>
      </c>
      <c r="D4" s="127" t="s">
        <v>480</v>
      </c>
      <c r="E4" s="88" t="s">
        <v>263</v>
      </c>
      <c r="F4" s="88">
        <v>2</v>
      </c>
      <c r="G4" s="92">
        <f>I4*90*1.42</f>
        <v>396180</v>
      </c>
      <c r="H4" s="93">
        <f t="shared" ref="H4" si="0">G4*F4</f>
        <v>792360</v>
      </c>
      <c r="I4" s="85">
        <v>3100</v>
      </c>
      <c r="J4" s="94">
        <v>2670</v>
      </c>
      <c r="K4" s="85"/>
    </row>
    <row r="5" spans="1:11" x14ac:dyDescent="0.3">
      <c r="A5" s="88">
        <v>3</v>
      </c>
      <c r="B5" s="254" t="s">
        <v>98</v>
      </c>
      <c r="C5" s="255"/>
      <c r="D5" s="255"/>
      <c r="E5" s="255"/>
      <c r="F5" s="255"/>
      <c r="G5" s="256"/>
      <c r="H5" s="97">
        <f>SUM(H2:H4)</f>
        <v>1584720</v>
      </c>
      <c r="I5" s="85"/>
      <c r="J5" s="85"/>
      <c r="K5" s="85"/>
    </row>
    <row r="6" spans="1:11" x14ac:dyDescent="0.3">
      <c r="A6" s="88">
        <v>4</v>
      </c>
      <c r="B6" s="237" t="s">
        <v>99</v>
      </c>
      <c r="C6" s="237"/>
      <c r="D6" s="237"/>
      <c r="E6" s="237"/>
      <c r="F6" s="237"/>
      <c r="G6" s="237"/>
      <c r="H6" s="97">
        <f>H5*18%</f>
        <v>285249.59999999998</v>
      </c>
      <c r="I6" s="85"/>
      <c r="J6" s="85"/>
      <c r="K6" s="85"/>
    </row>
    <row r="7" spans="1:11" ht="14.4" thickBot="1" x14ac:dyDescent="0.35">
      <c r="A7" s="88">
        <v>5</v>
      </c>
      <c r="B7" s="237" t="s">
        <v>9</v>
      </c>
      <c r="C7" s="237"/>
      <c r="D7" s="237"/>
      <c r="E7" s="237"/>
      <c r="F7" s="237"/>
      <c r="G7" s="237"/>
      <c r="H7" s="97">
        <f>H5+H6</f>
        <v>1869969.6</v>
      </c>
      <c r="I7" s="85"/>
      <c r="J7" s="85"/>
      <c r="K7" s="85"/>
    </row>
    <row r="8" spans="1:11" x14ac:dyDescent="0.3">
      <c r="A8" s="98"/>
      <c r="B8" s="238"/>
      <c r="C8" s="238"/>
      <c r="D8" s="238"/>
      <c r="E8" s="238"/>
      <c r="F8" s="238"/>
      <c r="G8" s="238"/>
      <c r="H8" s="239"/>
      <c r="I8" s="99"/>
      <c r="J8" s="85"/>
      <c r="K8" s="85"/>
    </row>
    <row r="9" spans="1:11" s="95" customFormat="1" x14ac:dyDescent="0.3">
      <c r="A9" s="240" t="s">
        <v>12</v>
      </c>
      <c r="B9" s="241"/>
      <c r="C9" s="241"/>
      <c r="D9" s="241"/>
      <c r="E9" s="241"/>
      <c r="F9" s="241"/>
      <c r="G9" s="241"/>
      <c r="H9" s="242"/>
      <c r="I9" s="100"/>
      <c r="J9" s="85"/>
    </row>
    <row r="10" spans="1:11" s="95" customFormat="1" ht="124.2" x14ac:dyDescent="0.3">
      <c r="A10" s="101" t="s">
        <v>13</v>
      </c>
      <c r="B10" s="232" t="s">
        <v>482</v>
      </c>
      <c r="C10" s="232"/>
      <c r="D10" s="232"/>
      <c r="E10" s="232"/>
      <c r="F10" s="232"/>
      <c r="G10" s="232"/>
      <c r="H10" s="233"/>
      <c r="I10" s="102"/>
      <c r="J10" s="85"/>
    </row>
  </sheetData>
  <mergeCells count="7">
    <mergeCell ref="B10:H10"/>
    <mergeCell ref="A1:D1"/>
    <mergeCell ref="B5:G5"/>
    <mergeCell ref="B6:G6"/>
    <mergeCell ref="B7:G7"/>
    <mergeCell ref="B8:H8"/>
    <mergeCell ref="A9:H9"/>
  </mergeCells>
  <hyperlinks>
    <hyperlink ref="B9" r:id="rId1" display="CST@2%" xr:uid="{00000000-0004-0000-31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10"/>
  <sheetViews>
    <sheetView workbookViewId="0">
      <selection activeCell="J2" sqref="J2:J3"/>
    </sheetView>
  </sheetViews>
  <sheetFormatPr defaultColWidth="9.109375" defaultRowHeight="13.8" x14ac:dyDescent="0.3"/>
  <cols>
    <col min="1" max="1" width="6.109375" style="87" customWidth="1"/>
    <col min="2" max="2" width="14.5546875" style="95" bestFit="1" customWidth="1"/>
    <col min="3" max="3" width="22.6640625" style="95" customWidth="1"/>
    <col min="4" max="4" width="46.5546875" style="95" customWidth="1"/>
    <col min="5" max="5" width="4.6640625" style="96" bestFit="1" customWidth="1"/>
    <col min="6" max="6" width="4" style="96" bestFit="1" customWidth="1"/>
    <col min="7" max="7" width="13.33203125" style="96" customWidth="1"/>
    <col min="8" max="8" width="13.33203125" style="96" bestFit="1" customWidth="1"/>
    <col min="9" max="9" width="11" style="103" bestFit="1" customWidth="1"/>
    <col min="10" max="10" width="10.44140625" style="103" bestFit="1" customWidth="1"/>
    <col min="11" max="11" width="18.6640625" style="103" bestFit="1" customWidth="1"/>
    <col min="12" max="12" width="10.5546875" style="96" bestFit="1" customWidth="1"/>
    <col min="13" max="16384" width="9.109375" style="96"/>
  </cols>
  <sheetData>
    <row r="1" spans="1:11" s="87" customFormat="1" ht="14.4" thickBot="1" x14ac:dyDescent="0.35">
      <c r="A1" s="234"/>
      <c r="B1" s="235"/>
      <c r="C1" s="235"/>
      <c r="D1" s="235"/>
      <c r="E1" s="82"/>
      <c r="F1" s="83"/>
      <c r="G1" s="83"/>
      <c r="H1" s="84"/>
      <c r="I1" s="85"/>
      <c r="J1" s="86"/>
      <c r="K1" s="86"/>
    </row>
    <row r="2" spans="1:11" s="81" customFormat="1" x14ac:dyDescent="0.3">
      <c r="A2" s="78" t="s">
        <v>0</v>
      </c>
      <c r="B2" s="79" t="s">
        <v>358</v>
      </c>
      <c r="C2" s="79" t="s">
        <v>286</v>
      </c>
      <c r="D2" s="78" t="s">
        <v>431</v>
      </c>
      <c r="E2" s="78" t="s">
        <v>347</v>
      </c>
      <c r="F2" s="78" t="s">
        <v>3</v>
      </c>
      <c r="G2" s="78" t="s">
        <v>6</v>
      </c>
      <c r="H2" s="78" t="s">
        <v>154</v>
      </c>
      <c r="I2" s="80" t="s">
        <v>61</v>
      </c>
      <c r="J2" s="80" t="s">
        <v>193</v>
      </c>
      <c r="K2" s="80" t="s">
        <v>327</v>
      </c>
    </row>
    <row r="3" spans="1:11" ht="96.6" x14ac:dyDescent="0.3">
      <c r="A3" s="88">
        <v>1</v>
      </c>
      <c r="B3" s="89">
        <v>4000002872</v>
      </c>
      <c r="C3" s="90" t="s">
        <v>485</v>
      </c>
      <c r="D3" s="127" t="s">
        <v>486</v>
      </c>
      <c r="E3" s="88" t="s">
        <v>220</v>
      </c>
      <c r="F3" s="88">
        <v>1</v>
      </c>
      <c r="G3" s="92">
        <f>I3*90*1.35</f>
        <v>1458000</v>
      </c>
      <c r="H3" s="93">
        <f>G3*F3</f>
        <v>1458000</v>
      </c>
      <c r="I3" s="85">
        <v>12000</v>
      </c>
      <c r="J3" s="94">
        <v>11700</v>
      </c>
      <c r="K3" s="85"/>
    </row>
    <row r="4" spans="1:11" ht="96.6" x14ac:dyDescent="0.3">
      <c r="A4" s="88">
        <v>2</v>
      </c>
      <c r="B4" s="89">
        <v>4000002314</v>
      </c>
      <c r="C4" s="90" t="s">
        <v>483</v>
      </c>
      <c r="D4" s="127" t="s">
        <v>484</v>
      </c>
      <c r="E4" s="88" t="s">
        <v>345</v>
      </c>
      <c r="F4" s="88">
        <v>4</v>
      </c>
      <c r="G4" s="92">
        <f>I4*90*1.42</f>
        <v>21087</v>
      </c>
      <c r="H4" s="93">
        <f t="shared" ref="H4" si="0">G4*F4</f>
        <v>84348</v>
      </c>
      <c r="I4" s="85">
        <v>165</v>
      </c>
      <c r="J4" s="94">
        <v>150</v>
      </c>
      <c r="K4" s="85"/>
    </row>
    <row r="5" spans="1:11" x14ac:dyDescent="0.3">
      <c r="A5" s="88">
        <v>3</v>
      </c>
      <c r="B5" s="254" t="s">
        <v>98</v>
      </c>
      <c r="C5" s="255"/>
      <c r="D5" s="255"/>
      <c r="E5" s="255"/>
      <c r="F5" s="255"/>
      <c r="G5" s="256"/>
      <c r="H5" s="97">
        <f>SUM(H2:H4)</f>
        <v>1542348</v>
      </c>
      <c r="I5" s="85"/>
      <c r="J5" s="85"/>
      <c r="K5" s="85"/>
    </row>
    <row r="6" spans="1:11" x14ac:dyDescent="0.3">
      <c r="A6" s="88">
        <v>4</v>
      </c>
      <c r="B6" s="237" t="s">
        <v>99</v>
      </c>
      <c r="C6" s="237"/>
      <c r="D6" s="237"/>
      <c r="E6" s="237"/>
      <c r="F6" s="237"/>
      <c r="G6" s="237"/>
      <c r="H6" s="97">
        <f>H5*18%</f>
        <v>277622.64</v>
      </c>
      <c r="I6" s="85"/>
      <c r="J6" s="85"/>
      <c r="K6" s="85"/>
    </row>
    <row r="7" spans="1:11" ht="14.4" thickBot="1" x14ac:dyDescent="0.35">
      <c r="A7" s="88">
        <v>5</v>
      </c>
      <c r="B7" s="237" t="s">
        <v>9</v>
      </c>
      <c r="C7" s="237"/>
      <c r="D7" s="237"/>
      <c r="E7" s="237"/>
      <c r="F7" s="237"/>
      <c r="G7" s="237"/>
      <c r="H7" s="97">
        <f>H5+H6</f>
        <v>1819970.6400000001</v>
      </c>
      <c r="I7" s="85"/>
      <c r="J7" s="85"/>
      <c r="K7" s="85"/>
    </row>
    <row r="8" spans="1:11" x14ac:dyDescent="0.3">
      <c r="A8" s="98"/>
      <c r="B8" s="238"/>
      <c r="C8" s="238"/>
      <c r="D8" s="238"/>
      <c r="E8" s="238"/>
      <c r="F8" s="238"/>
      <c r="G8" s="238"/>
      <c r="H8" s="239"/>
      <c r="I8" s="99"/>
      <c r="J8" s="85"/>
      <c r="K8" s="85"/>
    </row>
    <row r="9" spans="1:11" s="95" customFormat="1" x14ac:dyDescent="0.3">
      <c r="A9" s="240" t="s">
        <v>12</v>
      </c>
      <c r="B9" s="241"/>
      <c r="C9" s="241"/>
      <c r="D9" s="241"/>
      <c r="E9" s="241"/>
      <c r="F9" s="241"/>
      <c r="G9" s="241"/>
      <c r="H9" s="242"/>
      <c r="I9" s="100"/>
      <c r="J9" s="85"/>
    </row>
    <row r="10" spans="1:11" s="95" customFormat="1" ht="124.2" x14ac:dyDescent="0.3">
      <c r="A10" s="101" t="s">
        <v>13</v>
      </c>
      <c r="B10" s="232" t="s">
        <v>482</v>
      </c>
      <c r="C10" s="232"/>
      <c r="D10" s="232"/>
      <c r="E10" s="232"/>
      <c r="F10" s="232"/>
      <c r="G10" s="232"/>
      <c r="H10" s="233"/>
      <c r="I10" s="102"/>
      <c r="J10" s="85"/>
    </row>
  </sheetData>
  <mergeCells count="7">
    <mergeCell ref="B10:H10"/>
    <mergeCell ref="A1:D1"/>
    <mergeCell ref="B5:G5"/>
    <mergeCell ref="B6:G6"/>
    <mergeCell ref="B7:G7"/>
    <mergeCell ref="B8:H8"/>
    <mergeCell ref="A9:H9"/>
  </mergeCells>
  <hyperlinks>
    <hyperlink ref="B9" r:id="rId1" display="CST@2%" xr:uid="{00000000-0004-0000-32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5"/>
  <sheetViews>
    <sheetView topLeftCell="A4" workbookViewId="0">
      <selection activeCell="B15" sqref="B15:H15"/>
    </sheetView>
  </sheetViews>
  <sheetFormatPr defaultColWidth="9.109375" defaultRowHeight="13.8" x14ac:dyDescent="0.3"/>
  <cols>
    <col min="1" max="1" width="6.109375" style="87" customWidth="1"/>
    <col min="2" max="2" width="14.5546875" style="95" bestFit="1" customWidth="1"/>
    <col min="3" max="3" width="53.109375" style="95" customWidth="1"/>
    <col min="4" max="4" width="46.5546875" style="95" customWidth="1"/>
    <col min="5" max="5" width="4.6640625" style="96" bestFit="1" customWidth="1"/>
    <col min="6" max="6" width="4" style="96" bestFit="1" customWidth="1"/>
    <col min="7" max="7" width="13.33203125" style="96" customWidth="1"/>
    <col min="8" max="8" width="13.33203125" style="96" bestFit="1" customWidth="1"/>
    <col min="9" max="9" width="11" style="103" bestFit="1" customWidth="1"/>
    <col min="10" max="10" width="10.44140625" style="103" bestFit="1" customWidth="1"/>
    <col min="11" max="11" width="18.6640625" style="103" bestFit="1" customWidth="1"/>
    <col min="12" max="12" width="10.5546875" style="96" bestFit="1" customWidth="1"/>
    <col min="13" max="16384" width="9.109375" style="96"/>
  </cols>
  <sheetData>
    <row r="1" spans="1:11" s="87" customFormat="1" ht="14.4" thickBot="1" x14ac:dyDescent="0.35">
      <c r="A1" s="234"/>
      <c r="B1" s="235"/>
      <c r="C1" s="235"/>
      <c r="D1" s="235"/>
      <c r="E1" s="82"/>
      <c r="F1" s="83"/>
      <c r="G1" s="83"/>
      <c r="H1" s="84"/>
      <c r="I1" s="85"/>
      <c r="J1" s="86"/>
      <c r="K1" s="86"/>
    </row>
    <row r="2" spans="1:11" s="81" customFormat="1" ht="14.4" customHeight="1" x14ac:dyDescent="0.3">
      <c r="A2" s="78" t="s">
        <v>0</v>
      </c>
      <c r="B2" s="79" t="s">
        <v>358</v>
      </c>
      <c r="C2" s="128" t="s">
        <v>488</v>
      </c>
      <c r="D2" s="131" t="s">
        <v>489</v>
      </c>
      <c r="E2" s="78" t="s">
        <v>347</v>
      </c>
      <c r="F2" s="78" t="s">
        <v>3</v>
      </c>
      <c r="G2" s="78" t="s">
        <v>6</v>
      </c>
      <c r="H2" s="78" t="s">
        <v>154</v>
      </c>
      <c r="I2" s="80" t="s">
        <v>61</v>
      </c>
      <c r="J2" s="80" t="s">
        <v>193</v>
      </c>
      <c r="K2" s="80" t="s">
        <v>327</v>
      </c>
    </row>
    <row r="3" spans="1:11" ht="14.4" customHeight="1" x14ac:dyDescent="0.3">
      <c r="A3" s="88">
        <v>1</v>
      </c>
      <c r="B3" s="89">
        <v>4000012335</v>
      </c>
      <c r="C3" s="130" t="s">
        <v>487</v>
      </c>
      <c r="D3" s="129" t="s">
        <v>500</v>
      </c>
      <c r="E3" s="88" t="s">
        <v>220</v>
      </c>
      <c r="F3" s="88">
        <v>4</v>
      </c>
      <c r="G3" s="92">
        <f>I3*90*1.42</f>
        <v>1917</v>
      </c>
      <c r="H3" s="93">
        <f>G3*F3</f>
        <v>7668</v>
      </c>
      <c r="I3" s="85">
        <v>15</v>
      </c>
      <c r="J3" s="94">
        <v>5</v>
      </c>
      <c r="K3" s="85"/>
    </row>
    <row r="4" spans="1:11" ht="55.2" x14ac:dyDescent="0.3">
      <c r="A4" s="88">
        <v>2</v>
      </c>
      <c r="B4" s="89">
        <v>4000012112</v>
      </c>
      <c r="C4" s="90" t="s">
        <v>499</v>
      </c>
      <c r="D4" s="129" t="s">
        <v>500</v>
      </c>
      <c r="E4" s="88" t="s">
        <v>220</v>
      </c>
      <c r="F4" s="88">
        <v>4</v>
      </c>
      <c r="G4" s="92">
        <f t="shared" ref="G4:G7" si="0">I4*90*1.42</f>
        <v>1917</v>
      </c>
      <c r="H4" s="93">
        <f t="shared" ref="H4:H7" si="1">G4*F4</f>
        <v>7668</v>
      </c>
      <c r="I4" s="85">
        <v>15</v>
      </c>
      <c r="J4" s="94">
        <v>5</v>
      </c>
      <c r="K4" s="85"/>
    </row>
    <row r="5" spans="1:11" ht="55.2" x14ac:dyDescent="0.3">
      <c r="A5" s="88">
        <v>3</v>
      </c>
      <c r="B5" s="89">
        <v>4000012338</v>
      </c>
      <c r="C5" s="90" t="s">
        <v>498</v>
      </c>
      <c r="D5" s="129" t="s">
        <v>500</v>
      </c>
      <c r="E5" s="88" t="s">
        <v>220</v>
      </c>
      <c r="F5" s="88">
        <v>4</v>
      </c>
      <c r="G5" s="92">
        <f t="shared" si="0"/>
        <v>1917</v>
      </c>
      <c r="H5" s="93">
        <f t="shared" si="1"/>
        <v>7668</v>
      </c>
      <c r="I5" s="85">
        <v>15</v>
      </c>
      <c r="J5" s="94">
        <v>5</v>
      </c>
      <c r="K5" s="85"/>
    </row>
    <row r="6" spans="1:11" ht="55.2" x14ac:dyDescent="0.3">
      <c r="A6" s="88">
        <v>4</v>
      </c>
      <c r="B6" s="89">
        <v>4000012334</v>
      </c>
      <c r="C6" s="90" t="s">
        <v>497</v>
      </c>
      <c r="D6" s="129" t="s">
        <v>500</v>
      </c>
      <c r="E6" s="88" t="s">
        <v>220</v>
      </c>
      <c r="F6" s="88">
        <v>4</v>
      </c>
      <c r="G6" s="92">
        <f t="shared" si="0"/>
        <v>3834</v>
      </c>
      <c r="H6" s="93">
        <f t="shared" si="1"/>
        <v>15336</v>
      </c>
      <c r="I6" s="85">
        <v>30</v>
      </c>
      <c r="J6" s="94">
        <v>15</v>
      </c>
      <c r="K6" s="85"/>
    </row>
    <row r="7" spans="1:11" ht="69" x14ac:dyDescent="0.3">
      <c r="A7" s="88">
        <v>5</v>
      </c>
      <c r="B7" s="89">
        <v>4000012337</v>
      </c>
      <c r="C7" s="90" t="s">
        <v>496</v>
      </c>
      <c r="D7" s="129" t="s">
        <v>500</v>
      </c>
      <c r="E7" s="88" t="s">
        <v>220</v>
      </c>
      <c r="F7" s="88">
        <v>10</v>
      </c>
      <c r="G7" s="92">
        <f t="shared" si="0"/>
        <v>1917</v>
      </c>
      <c r="H7" s="93">
        <f t="shared" si="1"/>
        <v>19170</v>
      </c>
      <c r="I7" s="85">
        <v>15</v>
      </c>
      <c r="J7" s="94">
        <v>5</v>
      </c>
      <c r="K7" s="85"/>
    </row>
    <row r="8" spans="1:11" ht="41.4" x14ac:dyDescent="0.3">
      <c r="A8" s="88">
        <v>6</v>
      </c>
      <c r="B8" s="89">
        <v>7000003932</v>
      </c>
      <c r="C8" s="90" t="s">
        <v>491</v>
      </c>
      <c r="D8" s="127" t="s">
        <v>492</v>
      </c>
      <c r="E8" s="88" t="s">
        <v>490</v>
      </c>
      <c r="F8" s="88">
        <v>250</v>
      </c>
      <c r="G8" s="92" t="s">
        <v>493</v>
      </c>
      <c r="H8" s="93">
        <v>0</v>
      </c>
      <c r="I8" s="85"/>
      <c r="J8" s="94"/>
      <c r="K8" s="85"/>
    </row>
    <row r="9" spans="1:11" ht="55.2" x14ac:dyDescent="0.3">
      <c r="A9" s="88">
        <v>7</v>
      </c>
      <c r="B9" s="89">
        <v>4000009902</v>
      </c>
      <c r="C9" s="90" t="s">
        <v>495</v>
      </c>
      <c r="D9" s="127" t="s">
        <v>494</v>
      </c>
      <c r="E9" s="88" t="s">
        <v>220</v>
      </c>
      <c r="F9" s="88">
        <v>1</v>
      </c>
      <c r="G9" s="92" t="s">
        <v>493</v>
      </c>
      <c r="H9" s="93">
        <v>0</v>
      </c>
      <c r="I9" s="85"/>
      <c r="J9" s="94"/>
      <c r="K9" s="85"/>
    </row>
    <row r="10" spans="1:11" x14ac:dyDescent="0.3">
      <c r="A10" s="88">
        <v>8</v>
      </c>
      <c r="B10" s="254" t="s">
        <v>98</v>
      </c>
      <c r="C10" s="255"/>
      <c r="D10" s="255"/>
      <c r="E10" s="255"/>
      <c r="F10" s="255"/>
      <c r="G10" s="256"/>
      <c r="H10" s="97">
        <f>SUM(H2:H9)</f>
        <v>57510</v>
      </c>
      <c r="I10" s="85"/>
      <c r="J10" s="85"/>
      <c r="K10" s="85"/>
    </row>
    <row r="11" spans="1:11" x14ac:dyDescent="0.3">
      <c r="A11" s="88">
        <v>9</v>
      </c>
      <c r="B11" s="237" t="s">
        <v>99</v>
      </c>
      <c r="C11" s="237"/>
      <c r="D11" s="237"/>
      <c r="E11" s="237"/>
      <c r="F11" s="237"/>
      <c r="G11" s="237"/>
      <c r="H11" s="97">
        <f>H10*18%</f>
        <v>10351.799999999999</v>
      </c>
      <c r="I11" s="85"/>
      <c r="J11" s="85"/>
      <c r="K11" s="85"/>
    </row>
    <row r="12" spans="1:11" ht="14.4" thickBot="1" x14ac:dyDescent="0.35">
      <c r="A12" s="88">
        <v>10</v>
      </c>
      <c r="B12" s="237" t="s">
        <v>9</v>
      </c>
      <c r="C12" s="237"/>
      <c r="D12" s="237"/>
      <c r="E12" s="237"/>
      <c r="F12" s="237"/>
      <c r="G12" s="237"/>
      <c r="H12" s="97">
        <f>H10+H11</f>
        <v>67861.8</v>
      </c>
      <c r="I12" s="85"/>
      <c r="J12" s="85"/>
      <c r="K12" s="85"/>
    </row>
    <row r="13" spans="1:11" x14ac:dyDescent="0.3">
      <c r="A13" s="98"/>
      <c r="B13" s="238"/>
      <c r="C13" s="238"/>
      <c r="D13" s="238"/>
      <c r="E13" s="238"/>
      <c r="F13" s="238"/>
      <c r="G13" s="238"/>
      <c r="H13" s="239"/>
      <c r="I13" s="99"/>
      <c r="J13" s="85"/>
      <c r="K13" s="85"/>
    </row>
    <row r="14" spans="1:11" s="95" customFormat="1" x14ac:dyDescent="0.3">
      <c r="A14" s="240" t="s">
        <v>12</v>
      </c>
      <c r="B14" s="241"/>
      <c r="C14" s="241"/>
      <c r="D14" s="241"/>
      <c r="E14" s="241"/>
      <c r="F14" s="241"/>
      <c r="G14" s="241"/>
      <c r="H14" s="242"/>
      <c r="I14" s="100"/>
      <c r="J14" s="85"/>
    </row>
    <row r="15" spans="1:11" s="95" customFormat="1" ht="124.2" x14ac:dyDescent="0.3">
      <c r="A15" s="101" t="s">
        <v>13</v>
      </c>
      <c r="B15" s="232" t="s">
        <v>501</v>
      </c>
      <c r="C15" s="232"/>
      <c r="D15" s="232"/>
      <c r="E15" s="232"/>
      <c r="F15" s="232"/>
      <c r="G15" s="232"/>
      <c r="H15" s="233"/>
      <c r="I15" s="102"/>
      <c r="J15" s="85"/>
    </row>
  </sheetData>
  <mergeCells count="7">
    <mergeCell ref="B15:H15"/>
    <mergeCell ref="A1:D1"/>
    <mergeCell ref="B10:G10"/>
    <mergeCell ref="B11:G11"/>
    <mergeCell ref="B12:G12"/>
    <mergeCell ref="B13:H13"/>
    <mergeCell ref="A14:H14"/>
  </mergeCells>
  <hyperlinks>
    <hyperlink ref="B14" r:id="rId1" display="CST@2%" xr:uid="{00000000-0004-0000-33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10"/>
  <sheetViews>
    <sheetView workbookViewId="0">
      <selection activeCell="B10" sqref="B10:I10"/>
    </sheetView>
  </sheetViews>
  <sheetFormatPr defaultColWidth="9.109375" defaultRowHeight="13.8" x14ac:dyDescent="0.3"/>
  <cols>
    <col min="1" max="1" width="6.109375" style="13" customWidth="1"/>
    <col min="2" max="2" width="12.5546875" style="6" customWidth="1"/>
    <col min="3" max="3" width="31.44140625" style="6" customWidth="1"/>
    <col min="4" max="4" width="5.88671875" style="14" bestFit="1" customWidth="1"/>
    <col min="5" max="5" width="5.33203125" style="14" customWidth="1"/>
    <col min="6" max="6" width="9" style="14" bestFit="1" customWidth="1"/>
    <col min="7" max="7" width="8.5546875" style="14" customWidth="1"/>
    <col min="8" max="8" width="13.33203125" style="14" customWidth="1"/>
    <col min="9" max="9" width="13.33203125" style="14" bestFit="1" customWidth="1"/>
    <col min="10" max="10" width="11" style="112" bestFit="1" customWidth="1"/>
    <col min="11" max="11" width="10.44140625" style="112" bestFit="1" customWidth="1"/>
    <col min="12" max="12" width="18.6640625" style="112" bestFit="1" customWidth="1"/>
    <col min="13" max="13" width="10.5546875" style="14" bestFit="1" customWidth="1"/>
    <col min="14" max="16384" width="9.109375" style="14"/>
  </cols>
  <sheetData>
    <row r="1" spans="1:12" s="13" customFormat="1" ht="14.4" thickBot="1" x14ac:dyDescent="0.35">
      <c r="A1" s="243"/>
      <c r="B1" s="244"/>
      <c r="C1" s="244"/>
      <c r="D1" s="244"/>
      <c r="E1" s="245"/>
      <c r="F1" s="106"/>
      <c r="G1" s="107"/>
      <c r="H1" s="107"/>
      <c r="I1" s="108"/>
      <c r="J1" s="2"/>
      <c r="K1" s="3"/>
      <c r="L1" s="3"/>
    </row>
    <row r="2" spans="1:12" s="109" customFormat="1" x14ac:dyDescent="0.3">
      <c r="A2" s="22" t="s">
        <v>0</v>
      </c>
      <c r="B2" s="23" t="s">
        <v>185</v>
      </c>
      <c r="C2" s="22" t="s">
        <v>182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154</v>
      </c>
      <c r="J2" s="24" t="s">
        <v>61</v>
      </c>
      <c r="K2" s="24" t="s">
        <v>60</v>
      </c>
      <c r="L2" s="24" t="s">
        <v>153</v>
      </c>
    </row>
    <row r="3" spans="1:12" ht="124.2" x14ac:dyDescent="0.3">
      <c r="A3" s="27">
        <v>1</v>
      </c>
      <c r="B3" s="27">
        <v>4000017415</v>
      </c>
      <c r="C3" s="28" t="s">
        <v>510</v>
      </c>
      <c r="D3" s="27" t="s">
        <v>263</v>
      </c>
      <c r="E3" s="27">
        <v>2</v>
      </c>
      <c r="F3" s="27">
        <v>8481</v>
      </c>
      <c r="G3" s="30">
        <v>0.18</v>
      </c>
      <c r="H3" s="31">
        <f>J3*90*1.3</f>
        <v>298350</v>
      </c>
      <c r="I3" s="32">
        <f t="shared" ref="I3" si="0">H3*E3</f>
        <v>596700</v>
      </c>
      <c r="J3" s="2">
        <v>2550</v>
      </c>
      <c r="K3" s="110">
        <v>2450</v>
      </c>
      <c r="L3" s="2"/>
    </row>
    <row r="4" spans="1:12" x14ac:dyDescent="0.3">
      <c r="A4" s="27">
        <v>2</v>
      </c>
      <c r="B4" s="214" t="s">
        <v>98</v>
      </c>
      <c r="C4" s="214"/>
      <c r="D4" s="214"/>
      <c r="E4" s="214"/>
      <c r="F4" s="214"/>
      <c r="G4" s="214"/>
      <c r="H4" s="214"/>
      <c r="I4" s="105">
        <f>SUM(I2:I3)</f>
        <v>596700</v>
      </c>
      <c r="J4" s="2"/>
      <c r="K4" s="2"/>
      <c r="L4" s="2"/>
    </row>
    <row r="5" spans="1:12" x14ac:dyDescent="0.3">
      <c r="A5" s="27">
        <v>3</v>
      </c>
      <c r="B5" s="214" t="s">
        <v>343</v>
      </c>
      <c r="C5" s="214"/>
      <c r="D5" s="214"/>
      <c r="E5" s="214"/>
      <c r="F5" s="214"/>
      <c r="G5" s="214"/>
      <c r="H5" s="214"/>
      <c r="I5" s="105">
        <v>1500</v>
      </c>
      <c r="J5" s="2"/>
      <c r="K5" s="2"/>
      <c r="L5" s="2"/>
    </row>
    <row r="6" spans="1:12" x14ac:dyDescent="0.3">
      <c r="A6" s="27">
        <v>4</v>
      </c>
      <c r="B6" s="214" t="s">
        <v>99</v>
      </c>
      <c r="C6" s="214"/>
      <c r="D6" s="214"/>
      <c r="E6" s="214"/>
      <c r="F6" s="214"/>
      <c r="G6" s="214"/>
      <c r="H6" s="214"/>
      <c r="I6" s="105">
        <f>(I4+I5)*18%</f>
        <v>107676</v>
      </c>
      <c r="J6" s="2"/>
      <c r="K6" s="2"/>
      <c r="L6" s="2"/>
    </row>
    <row r="7" spans="1:12" ht="14.4" thickBot="1" x14ac:dyDescent="0.35">
      <c r="A7" s="27">
        <v>5</v>
      </c>
      <c r="B7" s="214" t="s">
        <v>9</v>
      </c>
      <c r="C7" s="214"/>
      <c r="D7" s="214"/>
      <c r="E7" s="214"/>
      <c r="F7" s="214"/>
      <c r="G7" s="214"/>
      <c r="H7" s="214"/>
      <c r="I7" s="105">
        <f>SUM(I4:I6)</f>
        <v>705876</v>
      </c>
      <c r="J7" s="2"/>
      <c r="K7" s="2"/>
      <c r="L7" s="2"/>
    </row>
    <row r="8" spans="1:12" x14ac:dyDescent="0.3">
      <c r="A8" s="10"/>
      <c r="B8" s="246" t="s">
        <v>511</v>
      </c>
      <c r="C8" s="246"/>
      <c r="D8" s="246"/>
      <c r="E8" s="246"/>
      <c r="F8" s="246"/>
      <c r="G8" s="246"/>
      <c r="H8" s="246"/>
      <c r="I8" s="247"/>
      <c r="J8" s="11"/>
      <c r="K8" s="2"/>
      <c r="L8" s="2"/>
    </row>
    <row r="9" spans="1:12" s="6" customFormat="1" x14ac:dyDescent="0.3">
      <c r="A9" s="218" t="s">
        <v>12</v>
      </c>
      <c r="B9" s="219"/>
      <c r="C9" s="219"/>
      <c r="D9" s="219"/>
      <c r="E9" s="219"/>
      <c r="F9" s="219"/>
      <c r="G9" s="219"/>
      <c r="H9" s="219"/>
      <c r="I9" s="220"/>
      <c r="J9" s="16"/>
      <c r="K9" s="2"/>
    </row>
    <row r="10" spans="1:12" s="6" customFormat="1" ht="124.2" x14ac:dyDescent="0.3">
      <c r="A10" s="111" t="s">
        <v>13</v>
      </c>
      <c r="B10" s="209" t="s">
        <v>285</v>
      </c>
      <c r="C10" s="209"/>
      <c r="D10" s="209"/>
      <c r="E10" s="209"/>
      <c r="F10" s="209"/>
      <c r="G10" s="209"/>
      <c r="H10" s="209"/>
      <c r="I10" s="210"/>
      <c r="J10" s="12"/>
      <c r="K10" s="2"/>
    </row>
  </sheetData>
  <mergeCells count="8">
    <mergeCell ref="A9:I9"/>
    <mergeCell ref="B10:I10"/>
    <mergeCell ref="A1:E1"/>
    <mergeCell ref="B4:H4"/>
    <mergeCell ref="B5:H5"/>
    <mergeCell ref="B6:H6"/>
    <mergeCell ref="B7:H7"/>
    <mergeCell ref="B8:I8"/>
  </mergeCells>
  <hyperlinks>
    <hyperlink ref="B9" r:id="rId1" display="CST@2%" xr:uid="{00000000-0004-0000-34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L10"/>
  <sheetViews>
    <sheetView workbookViewId="0">
      <selection activeCell="B10" sqref="B10:I10"/>
    </sheetView>
  </sheetViews>
  <sheetFormatPr defaultColWidth="9.109375" defaultRowHeight="13.8" x14ac:dyDescent="0.3"/>
  <cols>
    <col min="1" max="1" width="6.109375" style="13" customWidth="1"/>
    <col min="2" max="2" width="12.5546875" style="6" customWidth="1"/>
    <col min="3" max="3" width="39.5546875" style="6" customWidth="1"/>
    <col min="4" max="4" width="5.88671875" style="14" bestFit="1" customWidth="1"/>
    <col min="5" max="5" width="5.33203125" style="14" customWidth="1"/>
    <col min="6" max="6" width="9" style="14" bestFit="1" customWidth="1"/>
    <col min="7" max="7" width="8.5546875" style="14" customWidth="1"/>
    <col min="8" max="8" width="13.33203125" style="14" customWidth="1"/>
    <col min="9" max="9" width="13.33203125" style="14" bestFit="1" customWidth="1"/>
    <col min="10" max="10" width="11" style="112" bestFit="1" customWidth="1"/>
    <col min="11" max="11" width="10.44140625" style="112" bestFit="1" customWidth="1"/>
    <col min="12" max="12" width="18.6640625" style="112" bestFit="1" customWidth="1"/>
    <col min="13" max="13" width="10.5546875" style="14" bestFit="1" customWidth="1"/>
    <col min="14" max="16384" width="9.109375" style="14"/>
  </cols>
  <sheetData>
    <row r="1" spans="1:12" s="13" customFormat="1" ht="14.4" thickBot="1" x14ac:dyDescent="0.35">
      <c r="A1" s="243"/>
      <c r="B1" s="244"/>
      <c r="C1" s="244"/>
      <c r="D1" s="244"/>
      <c r="E1" s="245"/>
      <c r="F1" s="106"/>
      <c r="G1" s="107"/>
      <c r="H1" s="107"/>
      <c r="I1" s="108"/>
      <c r="J1" s="2"/>
      <c r="K1" s="3"/>
      <c r="L1" s="3"/>
    </row>
    <row r="2" spans="1:12" s="109" customFormat="1" x14ac:dyDescent="0.3">
      <c r="A2" s="22" t="s">
        <v>0</v>
      </c>
      <c r="B2" s="23" t="s">
        <v>185</v>
      </c>
      <c r="C2" s="22" t="s">
        <v>182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154</v>
      </c>
      <c r="J2" s="24" t="s">
        <v>61</v>
      </c>
      <c r="K2" s="24" t="s">
        <v>60</v>
      </c>
      <c r="L2" s="24" t="s">
        <v>153</v>
      </c>
    </row>
    <row r="3" spans="1:12" ht="82.8" x14ac:dyDescent="0.3">
      <c r="A3" s="27">
        <v>1</v>
      </c>
      <c r="B3" s="27">
        <v>4000001393</v>
      </c>
      <c r="C3" s="28" t="s">
        <v>513</v>
      </c>
      <c r="D3" s="27" t="s">
        <v>263</v>
      </c>
      <c r="E3" s="27">
        <v>1</v>
      </c>
      <c r="F3" s="27">
        <v>8413</v>
      </c>
      <c r="G3" s="30">
        <v>0.18</v>
      </c>
      <c r="H3" s="31">
        <f>J3*90*1.33</f>
        <v>435708</v>
      </c>
      <c r="I3" s="32">
        <f t="shared" ref="I3" si="0">H3*E3</f>
        <v>435708</v>
      </c>
      <c r="J3" s="2">
        <v>3640</v>
      </c>
      <c r="K3" s="110">
        <v>3440</v>
      </c>
      <c r="L3" s="2">
        <v>3440</v>
      </c>
    </row>
    <row r="4" spans="1:12" x14ac:dyDescent="0.3">
      <c r="A4" s="27">
        <v>2</v>
      </c>
      <c r="B4" s="214" t="s">
        <v>98</v>
      </c>
      <c r="C4" s="214"/>
      <c r="D4" s="214"/>
      <c r="E4" s="214"/>
      <c r="F4" s="214"/>
      <c r="G4" s="214"/>
      <c r="H4" s="214"/>
      <c r="I4" s="105">
        <f>SUM(I2:I3)</f>
        <v>435708</v>
      </c>
      <c r="J4" s="2"/>
      <c r="K4" s="2"/>
      <c r="L4" s="2"/>
    </row>
    <row r="5" spans="1:12" x14ac:dyDescent="0.3">
      <c r="A5" s="27">
        <v>3</v>
      </c>
      <c r="B5" s="214" t="s">
        <v>343</v>
      </c>
      <c r="C5" s="214"/>
      <c r="D5" s="214"/>
      <c r="E5" s="214"/>
      <c r="F5" s="214"/>
      <c r="G5" s="214"/>
      <c r="H5" s="214"/>
      <c r="I5" s="105">
        <v>4500</v>
      </c>
      <c r="J5" s="2"/>
      <c r="K5" s="2"/>
      <c r="L5" s="2"/>
    </row>
    <row r="6" spans="1:12" x14ac:dyDescent="0.3">
      <c r="A6" s="27">
        <v>4</v>
      </c>
      <c r="B6" s="214" t="s">
        <v>99</v>
      </c>
      <c r="C6" s="214"/>
      <c r="D6" s="214"/>
      <c r="E6" s="214"/>
      <c r="F6" s="214"/>
      <c r="G6" s="214"/>
      <c r="H6" s="214"/>
      <c r="I6" s="105">
        <f>(I4+I5)*18%</f>
        <v>79237.440000000002</v>
      </c>
      <c r="J6" s="2"/>
      <c r="K6" s="2"/>
      <c r="L6" s="2"/>
    </row>
    <row r="7" spans="1:12" ht="14.4" thickBot="1" x14ac:dyDescent="0.35">
      <c r="A7" s="27">
        <v>5</v>
      </c>
      <c r="B7" s="214" t="s">
        <v>9</v>
      </c>
      <c r="C7" s="214"/>
      <c r="D7" s="214"/>
      <c r="E7" s="214"/>
      <c r="F7" s="214"/>
      <c r="G7" s="214"/>
      <c r="H7" s="214"/>
      <c r="I7" s="105">
        <f>SUM(I4:I6)</f>
        <v>519445.44</v>
      </c>
      <c r="J7" s="2"/>
      <c r="K7" s="2"/>
      <c r="L7" s="2"/>
    </row>
    <row r="8" spans="1:12" x14ac:dyDescent="0.3">
      <c r="A8" s="10"/>
      <c r="B8" s="246"/>
      <c r="C8" s="246"/>
      <c r="D8" s="246"/>
      <c r="E8" s="246"/>
      <c r="F8" s="246"/>
      <c r="G8" s="246"/>
      <c r="H8" s="246"/>
      <c r="I8" s="247"/>
      <c r="J8" s="11"/>
      <c r="K8" s="2"/>
      <c r="L8" s="2"/>
    </row>
    <row r="9" spans="1:12" s="6" customFormat="1" x14ac:dyDescent="0.3">
      <c r="A9" s="218" t="s">
        <v>12</v>
      </c>
      <c r="B9" s="219"/>
      <c r="C9" s="219"/>
      <c r="D9" s="219"/>
      <c r="E9" s="219"/>
      <c r="F9" s="219"/>
      <c r="G9" s="219"/>
      <c r="H9" s="219"/>
      <c r="I9" s="220"/>
      <c r="J9" s="16"/>
      <c r="K9" s="2"/>
    </row>
    <row r="10" spans="1:12" s="6" customFormat="1" ht="124.2" x14ac:dyDescent="0.3">
      <c r="A10" s="111" t="s">
        <v>13</v>
      </c>
      <c r="B10" s="209" t="s">
        <v>514</v>
      </c>
      <c r="C10" s="209"/>
      <c r="D10" s="209"/>
      <c r="E10" s="209"/>
      <c r="F10" s="209"/>
      <c r="G10" s="209"/>
      <c r="H10" s="209"/>
      <c r="I10" s="210"/>
      <c r="J10" s="12"/>
      <c r="K10" s="2"/>
    </row>
  </sheetData>
  <mergeCells count="8">
    <mergeCell ref="A9:I9"/>
    <mergeCell ref="B10:I10"/>
    <mergeCell ref="A1:E1"/>
    <mergeCell ref="B4:H4"/>
    <mergeCell ref="B5:H5"/>
    <mergeCell ref="B6:H6"/>
    <mergeCell ref="B7:H7"/>
    <mergeCell ref="B8:I8"/>
  </mergeCells>
  <hyperlinks>
    <hyperlink ref="B9" r:id="rId1" display="CST@2%" xr:uid="{00000000-0004-0000-3500-000000000000}"/>
  </hyperlinks>
  <printOptions horizontalCentered="1"/>
  <pageMargins left="0.25" right="0.25" top="0.75" bottom="0.75" header="0.3" footer="0.3"/>
  <pageSetup scale="105" orientation="landscape" horizontalDpi="4294967292" verticalDpi="0"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M14"/>
  <sheetViews>
    <sheetView workbookViewId="0">
      <selection activeCell="S6" sqref="S6"/>
    </sheetView>
  </sheetViews>
  <sheetFormatPr defaultColWidth="9.109375" defaultRowHeight="13.8" x14ac:dyDescent="0.3"/>
  <cols>
    <col min="1" max="1" width="6.109375" style="13" customWidth="1"/>
    <col min="2" max="2" width="8.44140625" style="13" bestFit="1" customWidth="1"/>
    <col min="3" max="3" width="7.44140625" style="13" bestFit="1" customWidth="1"/>
    <col min="4" max="5" width="12.5546875" style="6" customWidth="1"/>
    <col min="6" max="6" width="39.5546875" style="6" customWidth="1"/>
    <col min="7" max="7" width="5.88671875" style="14" bestFit="1" customWidth="1"/>
    <col min="8" max="8" width="5.33203125" style="14" customWidth="1"/>
    <col min="9" max="9" width="13.33203125" style="14" customWidth="1"/>
    <col min="10" max="10" width="13.33203125" style="14" bestFit="1" customWidth="1"/>
    <col min="11" max="11" width="11" style="112" bestFit="1" customWidth="1"/>
    <col min="12" max="12" width="10.44140625" style="112" bestFit="1" customWidth="1"/>
    <col min="13" max="13" width="18.6640625" style="112" bestFit="1" customWidth="1"/>
    <col min="14" max="14" width="10.5546875" style="14" bestFit="1" customWidth="1"/>
    <col min="15" max="16384" width="9.109375" style="14"/>
  </cols>
  <sheetData>
    <row r="1" spans="1:13" s="13" customFormat="1" ht="14.4" thickBot="1" x14ac:dyDescent="0.35">
      <c r="A1" s="243"/>
      <c r="B1" s="244"/>
      <c r="C1" s="244"/>
      <c r="D1" s="244"/>
      <c r="E1" s="244"/>
      <c r="F1" s="244"/>
      <c r="G1" s="244"/>
      <c r="H1" s="245"/>
      <c r="I1" s="107"/>
      <c r="J1" s="108"/>
      <c r="K1" s="2"/>
      <c r="L1" s="3"/>
      <c r="M1" s="3"/>
    </row>
    <row r="2" spans="1:13" s="109" customFormat="1" x14ac:dyDescent="0.3">
      <c r="A2" s="22" t="s">
        <v>516</v>
      </c>
      <c r="B2" s="23" t="s">
        <v>518</v>
      </c>
      <c r="C2" s="23" t="s">
        <v>517</v>
      </c>
      <c r="D2" s="23" t="s">
        <v>515</v>
      </c>
      <c r="E2" s="23" t="s">
        <v>185</v>
      </c>
      <c r="F2" s="22" t="s">
        <v>182</v>
      </c>
      <c r="G2" s="22" t="s">
        <v>2</v>
      </c>
      <c r="H2" s="22" t="s">
        <v>3</v>
      </c>
      <c r="I2" s="22" t="s">
        <v>6</v>
      </c>
      <c r="J2" s="22" t="s">
        <v>154</v>
      </c>
      <c r="K2" s="24" t="s">
        <v>61</v>
      </c>
      <c r="L2" s="24" t="s">
        <v>261</v>
      </c>
      <c r="M2" s="24" t="s">
        <v>526</v>
      </c>
    </row>
    <row r="3" spans="1:13" s="109" customFormat="1" ht="69" x14ac:dyDescent="0.3">
      <c r="A3" s="27">
        <v>1</v>
      </c>
      <c r="B3" s="148">
        <v>10</v>
      </c>
      <c r="C3" s="148">
        <v>895</v>
      </c>
      <c r="D3" s="148">
        <v>1200002731</v>
      </c>
      <c r="E3" s="148">
        <v>4000002005</v>
      </c>
      <c r="F3" s="28" t="s">
        <v>519</v>
      </c>
      <c r="G3" s="27" t="s">
        <v>345</v>
      </c>
      <c r="H3" s="27">
        <v>2</v>
      </c>
      <c r="I3" s="31">
        <f>K3*92*1.3</f>
        <v>130364</v>
      </c>
      <c r="J3" s="32">
        <f t="shared" ref="J3:J8" si="0">I3*H3</f>
        <v>260728</v>
      </c>
      <c r="K3" s="2">
        <f>M3</f>
        <v>1090</v>
      </c>
      <c r="L3" s="2">
        <v>590</v>
      </c>
      <c r="M3" s="24">
        <v>1090</v>
      </c>
    </row>
    <row r="4" spans="1:13" s="109" customFormat="1" ht="69" x14ac:dyDescent="0.3">
      <c r="A4" s="27">
        <v>2</v>
      </c>
      <c r="B4" s="148">
        <v>20</v>
      </c>
      <c r="C4" s="148">
        <v>895</v>
      </c>
      <c r="D4" s="148">
        <v>1200002731</v>
      </c>
      <c r="E4" s="148">
        <v>4000002006</v>
      </c>
      <c r="F4" s="28" t="s">
        <v>520</v>
      </c>
      <c r="G4" s="27" t="s">
        <v>345</v>
      </c>
      <c r="H4" s="27">
        <v>2</v>
      </c>
      <c r="I4" s="31">
        <f t="shared" ref="I4" si="1">K4*92*1.3</f>
        <v>130364</v>
      </c>
      <c r="J4" s="32">
        <f t="shared" si="0"/>
        <v>260728</v>
      </c>
      <c r="K4" s="2">
        <f t="shared" ref="K4:K8" si="2">M4</f>
        <v>1090</v>
      </c>
      <c r="L4" s="2">
        <v>590</v>
      </c>
      <c r="M4" s="24">
        <v>1090</v>
      </c>
    </row>
    <row r="5" spans="1:13" s="109" customFormat="1" ht="69" x14ac:dyDescent="0.3">
      <c r="A5" s="27">
        <v>3</v>
      </c>
      <c r="B5" s="148">
        <v>30</v>
      </c>
      <c r="C5" s="148">
        <v>895</v>
      </c>
      <c r="D5" s="148">
        <v>1200002731</v>
      </c>
      <c r="E5" s="148">
        <v>4000000559</v>
      </c>
      <c r="F5" s="28" t="s">
        <v>521</v>
      </c>
      <c r="G5" s="27" t="s">
        <v>263</v>
      </c>
      <c r="H5" s="27">
        <v>60</v>
      </c>
      <c r="I5" s="31">
        <f>K5*95*1.35</f>
        <v>1282.5</v>
      </c>
      <c r="J5" s="32">
        <f t="shared" si="0"/>
        <v>76950</v>
      </c>
      <c r="K5" s="2">
        <f t="shared" si="2"/>
        <v>10</v>
      </c>
      <c r="L5" s="2">
        <v>10</v>
      </c>
      <c r="M5" s="24">
        <v>10</v>
      </c>
    </row>
    <row r="6" spans="1:13" s="109" customFormat="1" ht="69" x14ac:dyDescent="0.3">
      <c r="A6" s="27">
        <v>4</v>
      </c>
      <c r="B6" s="148">
        <v>40</v>
      </c>
      <c r="C6" s="148">
        <v>895</v>
      </c>
      <c r="D6" s="148">
        <v>1200002731</v>
      </c>
      <c r="E6" s="148">
        <v>4000013737</v>
      </c>
      <c r="F6" s="28" t="s">
        <v>522</v>
      </c>
      <c r="G6" s="27" t="s">
        <v>263</v>
      </c>
      <c r="H6" s="27">
        <v>48</v>
      </c>
      <c r="I6" s="31">
        <f t="shared" ref="I6:I8" si="3">K6*95*1.35</f>
        <v>1282.5</v>
      </c>
      <c r="J6" s="32">
        <f t="shared" si="0"/>
        <v>61560</v>
      </c>
      <c r="K6" s="2">
        <f t="shared" si="2"/>
        <v>10</v>
      </c>
      <c r="L6" s="2">
        <v>10</v>
      </c>
      <c r="M6" s="24">
        <v>10</v>
      </c>
    </row>
    <row r="7" spans="1:13" s="109" customFormat="1" ht="55.2" x14ac:dyDescent="0.3">
      <c r="A7" s="27">
        <v>5</v>
      </c>
      <c r="B7" s="148">
        <v>50</v>
      </c>
      <c r="C7" s="148">
        <v>895</v>
      </c>
      <c r="D7" s="148">
        <v>1200002731</v>
      </c>
      <c r="E7" s="148">
        <v>4000013738</v>
      </c>
      <c r="F7" s="28" t="s">
        <v>523</v>
      </c>
      <c r="G7" s="27" t="s">
        <v>263</v>
      </c>
      <c r="H7" s="27">
        <v>96</v>
      </c>
      <c r="I7" s="31">
        <f t="shared" si="3"/>
        <v>1282.5</v>
      </c>
      <c r="J7" s="32">
        <f t="shared" si="0"/>
        <v>123120</v>
      </c>
      <c r="K7" s="2">
        <f t="shared" si="2"/>
        <v>10</v>
      </c>
      <c r="L7" s="2">
        <v>10</v>
      </c>
      <c r="M7" s="24">
        <v>10</v>
      </c>
    </row>
    <row r="8" spans="1:13" s="109" customFormat="1" ht="55.2" x14ac:dyDescent="0.3">
      <c r="A8" s="27">
        <v>6</v>
      </c>
      <c r="B8" s="148">
        <v>60</v>
      </c>
      <c r="C8" s="148">
        <v>895</v>
      </c>
      <c r="D8" s="148">
        <v>1200002731</v>
      </c>
      <c r="E8" s="148">
        <v>4000013739</v>
      </c>
      <c r="F8" s="28" t="s">
        <v>524</v>
      </c>
      <c r="G8" s="27" t="s">
        <v>263</v>
      </c>
      <c r="H8" s="27">
        <v>48</v>
      </c>
      <c r="I8" s="31">
        <f t="shared" si="3"/>
        <v>1282.5</v>
      </c>
      <c r="J8" s="32">
        <f t="shared" si="0"/>
        <v>61560</v>
      </c>
      <c r="K8" s="2">
        <f t="shared" si="2"/>
        <v>10</v>
      </c>
      <c r="L8" s="2">
        <v>10</v>
      </c>
      <c r="M8" s="24">
        <v>10</v>
      </c>
    </row>
    <row r="9" spans="1:13" x14ac:dyDescent="0.3">
      <c r="A9" s="27">
        <v>7</v>
      </c>
      <c r="B9" s="27"/>
      <c r="C9" s="27"/>
      <c r="D9" s="214" t="s">
        <v>98</v>
      </c>
      <c r="E9" s="214"/>
      <c r="F9" s="214"/>
      <c r="G9" s="214"/>
      <c r="H9" s="214"/>
      <c r="I9" s="214"/>
      <c r="J9" s="105">
        <f>SUM(J3:J8)</f>
        <v>844646</v>
      </c>
      <c r="K9" s="2"/>
      <c r="L9" s="2"/>
      <c r="M9" s="2"/>
    </row>
    <row r="10" spans="1:13" x14ac:dyDescent="0.3">
      <c r="A10" s="27">
        <v>8</v>
      </c>
      <c r="B10" s="27"/>
      <c r="C10" s="27"/>
      <c r="D10" s="214" t="s">
        <v>99</v>
      </c>
      <c r="E10" s="214"/>
      <c r="F10" s="214"/>
      <c r="G10" s="214"/>
      <c r="H10" s="214"/>
      <c r="I10" s="214"/>
      <c r="J10" s="105">
        <f>J9*18%</f>
        <v>152036.28</v>
      </c>
      <c r="K10" s="2"/>
      <c r="L10" s="2"/>
      <c r="M10" s="2"/>
    </row>
    <row r="11" spans="1:13" ht="14.4" thickBot="1" x14ac:dyDescent="0.35">
      <c r="A11" s="27">
        <v>9</v>
      </c>
      <c r="B11" s="27"/>
      <c r="C11" s="27"/>
      <c r="D11" s="214" t="s">
        <v>9</v>
      </c>
      <c r="E11" s="214"/>
      <c r="F11" s="214"/>
      <c r="G11" s="214"/>
      <c r="H11" s="214"/>
      <c r="I11" s="214"/>
      <c r="J11" s="105">
        <f>SUM(J9:J10)</f>
        <v>996682.28</v>
      </c>
      <c r="K11" s="2"/>
      <c r="L11" s="2"/>
      <c r="M11" s="2"/>
    </row>
    <row r="12" spans="1:13" x14ac:dyDescent="0.3">
      <c r="A12" s="10"/>
      <c r="B12" s="147"/>
      <c r="C12" s="147"/>
      <c r="D12" s="246"/>
      <c r="E12" s="246"/>
      <c r="F12" s="246"/>
      <c r="G12" s="246"/>
      <c r="H12" s="246"/>
      <c r="I12" s="246"/>
      <c r="J12" s="247"/>
      <c r="K12" s="11"/>
      <c r="L12" s="2"/>
      <c r="M12" s="2"/>
    </row>
    <row r="13" spans="1:13" s="6" customFormat="1" x14ac:dyDescent="0.3">
      <c r="A13" s="218" t="s">
        <v>12</v>
      </c>
      <c r="B13" s="219"/>
      <c r="C13" s="219"/>
      <c r="D13" s="219"/>
      <c r="E13" s="219"/>
      <c r="F13" s="219"/>
      <c r="G13" s="219"/>
      <c r="H13" s="219"/>
      <c r="I13" s="219"/>
      <c r="J13" s="220"/>
      <c r="K13" s="16"/>
      <c r="L13" s="2"/>
    </row>
    <row r="14" spans="1:13" s="6" customFormat="1" ht="114.75" customHeight="1" x14ac:dyDescent="0.3">
      <c r="A14" s="111" t="s">
        <v>13</v>
      </c>
      <c r="B14" s="209" t="s">
        <v>525</v>
      </c>
      <c r="C14" s="209"/>
      <c r="D14" s="209"/>
      <c r="E14" s="209"/>
      <c r="F14" s="209"/>
      <c r="G14" s="209"/>
      <c r="H14" s="209"/>
      <c r="I14" s="209"/>
      <c r="J14" s="210"/>
      <c r="K14" s="12"/>
      <c r="L14" s="2"/>
    </row>
  </sheetData>
  <mergeCells count="7">
    <mergeCell ref="A13:J13"/>
    <mergeCell ref="B14:J14"/>
    <mergeCell ref="A1:H1"/>
    <mergeCell ref="D9:I9"/>
    <mergeCell ref="D10:I10"/>
    <mergeCell ref="D11:I11"/>
    <mergeCell ref="D12:J12"/>
  </mergeCells>
  <hyperlinks>
    <hyperlink ref="D13" r:id="rId1" display="CST@2%" xr:uid="{00000000-0004-0000-36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12"/>
  <sheetViews>
    <sheetView zoomScaleNormal="100" workbookViewId="0">
      <selection activeCell="D9" sqref="D9:I9"/>
    </sheetView>
  </sheetViews>
  <sheetFormatPr defaultColWidth="9.109375" defaultRowHeight="13.8" x14ac:dyDescent="0.3"/>
  <cols>
    <col min="1" max="1" width="6.109375" style="13" customWidth="1"/>
    <col min="2" max="2" width="11" style="13" bestFit="1" customWidth="1"/>
    <col min="3" max="3" width="7.44140625" style="13" bestFit="1" customWidth="1"/>
    <col min="4" max="5" width="12.5546875" style="6" customWidth="1"/>
    <col min="6" max="6" width="39.5546875" style="6" customWidth="1"/>
    <col min="7" max="7" width="5.88671875" style="14" bestFit="1" customWidth="1"/>
    <col min="8" max="8" width="5.33203125" style="14" customWidth="1"/>
    <col min="9" max="9" width="13.33203125" style="14" customWidth="1"/>
    <col min="10" max="10" width="13.33203125" style="14" bestFit="1" customWidth="1"/>
    <col min="11" max="11" width="11" style="112" bestFit="1" customWidth="1"/>
    <col min="12" max="12" width="10.44140625" style="112" bestFit="1" customWidth="1"/>
    <col min="13" max="13" width="18.6640625" style="112" bestFit="1" customWidth="1"/>
    <col min="14" max="14" width="10.5546875" style="14" bestFit="1" customWidth="1"/>
    <col min="15" max="16384" width="9.109375" style="14"/>
  </cols>
  <sheetData>
    <row r="1" spans="1:13" s="13" customFormat="1" ht="14.4" thickBot="1" x14ac:dyDescent="0.35">
      <c r="A1" s="243"/>
      <c r="B1" s="244"/>
      <c r="C1" s="244"/>
      <c r="D1" s="244"/>
      <c r="E1" s="244"/>
      <c r="F1" s="244"/>
      <c r="G1" s="244"/>
      <c r="H1" s="245"/>
      <c r="I1" s="107"/>
      <c r="J1" s="108"/>
      <c r="K1" s="2"/>
      <c r="L1" s="3"/>
      <c r="M1" s="3"/>
    </row>
    <row r="2" spans="1:13" s="109" customFormat="1" x14ac:dyDescent="0.3">
      <c r="A2" s="149" t="s">
        <v>516</v>
      </c>
      <c r="B2" s="23" t="s">
        <v>0</v>
      </c>
      <c r="C2" s="23" t="s">
        <v>517</v>
      </c>
      <c r="D2" s="23" t="s">
        <v>515</v>
      </c>
      <c r="E2" s="23" t="s">
        <v>185</v>
      </c>
      <c r="F2" s="22" t="s">
        <v>182</v>
      </c>
      <c r="G2" s="22" t="s">
        <v>2</v>
      </c>
      <c r="H2" s="22" t="s">
        <v>3</v>
      </c>
      <c r="I2" s="22" t="s">
        <v>6</v>
      </c>
      <c r="J2" s="150" t="s">
        <v>154</v>
      </c>
      <c r="K2" s="24" t="s">
        <v>61</v>
      </c>
      <c r="L2" s="24" t="s">
        <v>153</v>
      </c>
      <c r="M2" s="24" t="s">
        <v>261</v>
      </c>
    </row>
    <row r="3" spans="1:13" s="109" customFormat="1" ht="41.4" x14ac:dyDescent="0.3">
      <c r="A3" s="151">
        <v>1</v>
      </c>
      <c r="B3" s="148">
        <v>10</v>
      </c>
      <c r="C3" s="148">
        <v>1102</v>
      </c>
      <c r="D3" s="148">
        <v>1200002881</v>
      </c>
      <c r="E3" s="148" t="s">
        <v>212</v>
      </c>
      <c r="F3" s="28" t="s">
        <v>527</v>
      </c>
      <c r="G3" s="27" t="s">
        <v>127</v>
      </c>
      <c r="H3" s="27">
        <v>4</v>
      </c>
      <c r="I3" s="31">
        <f>K3*88*1.35</f>
        <v>163231.20000000001</v>
      </c>
      <c r="J3" s="152">
        <f>I3*H3</f>
        <v>652924.80000000005</v>
      </c>
      <c r="K3" s="2">
        <f>3*L3</f>
        <v>1374</v>
      </c>
      <c r="L3" s="2">
        <v>458</v>
      </c>
      <c r="M3" s="2">
        <v>470</v>
      </c>
    </row>
    <row r="4" spans="1:13" s="109" customFormat="1" ht="55.2" x14ac:dyDescent="0.3">
      <c r="A4" s="151">
        <v>2</v>
      </c>
      <c r="B4" s="148">
        <v>30</v>
      </c>
      <c r="C4" s="148">
        <v>1102</v>
      </c>
      <c r="D4" s="148">
        <v>1200002881</v>
      </c>
      <c r="E4" s="148" t="s">
        <v>212</v>
      </c>
      <c r="F4" s="28" t="s">
        <v>531</v>
      </c>
      <c r="G4" s="27" t="s">
        <v>263</v>
      </c>
      <c r="H4" s="27">
        <v>10</v>
      </c>
      <c r="I4" s="31">
        <f>K4*88*1.35</f>
        <v>27442.800000000003</v>
      </c>
      <c r="J4" s="152">
        <f>I4*H4</f>
        <v>274428</v>
      </c>
      <c r="K4" s="2">
        <f>3*L4</f>
        <v>231</v>
      </c>
      <c r="L4" s="2">
        <v>77</v>
      </c>
      <c r="M4" s="2">
        <v>160</v>
      </c>
    </row>
    <row r="5" spans="1:13" s="109" customFormat="1" ht="55.2" x14ac:dyDescent="0.3">
      <c r="A5" s="151">
        <v>3</v>
      </c>
      <c r="B5" s="148">
        <v>40</v>
      </c>
      <c r="C5" s="148">
        <v>1102</v>
      </c>
      <c r="D5" s="148">
        <v>1200002881</v>
      </c>
      <c r="E5" s="148" t="s">
        <v>212</v>
      </c>
      <c r="F5" s="28" t="s">
        <v>528</v>
      </c>
      <c r="G5" s="27" t="s">
        <v>263</v>
      </c>
      <c r="H5" s="27">
        <v>20</v>
      </c>
      <c r="I5" s="31">
        <f>K5*88*1.35</f>
        <v>12474</v>
      </c>
      <c r="J5" s="152">
        <f>I5*H5</f>
        <v>249480</v>
      </c>
      <c r="K5" s="2">
        <f>3*L5</f>
        <v>105</v>
      </c>
      <c r="L5" s="2">
        <v>35</v>
      </c>
      <c r="M5" s="2">
        <v>60</v>
      </c>
    </row>
    <row r="6" spans="1:13" s="109" customFormat="1" ht="55.2" x14ac:dyDescent="0.3">
      <c r="A6" s="151">
        <v>4</v>
      </c>
      <c r="B6" s="148">
        <v>50</v>
      </c>
      <c r="C6" s="148">
        <v>1102</v>
      </c>
      <c r="D6" s="148">
        <v>1200002881</v>
      </c>
      <c r="E6" s="148" t="s">
        <v>212</v>
      </c>
      <c r="F6" s="28" t="s">
        <v>529</v>
      </c>
      <c r="G6" s="27" t="s">
        <v>263</v>
      </c>
      <c r="H6" s="27">
        <v>90</v>
      </c>
      <c r="I6" s="31">
        <f>K6*88*1.35</f>
        <v>11048.400000000001</v>
      </c>
      <c r="J6" s="152">
        <f>I6*H6</f>
        <v>994356.00000000012</v>
      </c>
      <c r="K6" s="2">
        <f>3*L6</f>
        <v>93</v>
      </c>
      <c r="L6" s="2">
        <v>31</v>
      </c>
      <c r="M6" s="2">
        <v>30</v>
      </c>
    </row>
    <row r="7" spans="1:13" x14ac:dyDescent="0.3">
      <c r="A7" s="151">
        <v>7</v>
      </c>
      <c r="B7" s="27"/>
      <c r="C7" s="27"/>
      <c r="D7" s="214" t="s">
        <v>98</v>
      </c>
      <c r="E7" s="214"/>
      <c r="F7" s="214"/>
      <c r="G7" s="214"/>
      <c r="H7" s="214"/>
      <c r="I7" s="214"/>
      <c r="J7" s="153">
        <f>SUM(J3:J6)</f>
        <v>2171188.8000000003</v>
      </c>
      <c r="K7" s="2"/>
      <c r="L7" s="2"/>
      <c r="M7" s="2"/>
    </row>
    <row r="8" spans="1:13" x14ac:dyDescent="0.3">
      <c r="A8" s="151">
        <v>8</v>
      </c>
      <c r="B8" s="27"/>
      <c r="C8" s="27"/>
      <c r="D8" s="214" t="s">
        <v>99</v>
      </c>
      <c r="E8" s="214"/>
      <c r="F8" s="214"/>
      <c r="G8" s="214"/>
      <c r="H8" s="214"/>
      <c r="I8" s="214"/>
      <c r="J8" s="153">
        <f>J7*18%</f>
        <v>390813.98400000005</v>
      </c>
      <c r="K8" s="2"/>
      <c r="L8" s="2"/>
      <c r="M8" s="2"/>
    </row>
    <row r="9" spans="1:13" ht="14.4" thickBot="1" x14ac:dyDescent="0.35">
      <c r="A9" s="154">
        <v>9</v>
      </c>
      <c r="B9" s="155"/>
      <c r="C9" s="155"/>
      <c r="D9" s="271" t="s">
        <v>9</v>
      </c>
      <c r="E9" s="271"/>
      <c r="F9" s="271"/>
      <c r="G9" s="271"/>
      <c r="H9" s="271"/>
      <c r="I9" s="271"/>
      <c r="J9" s="156">
        <f>SUM(J7:J8)</f>
        <v>2562002.7840000005</v>
      </c>
      <c r="K9" s="2"/>
      <c r="L9" s="2"/>
      <c r="M9" s="2"/>
    </row>
    <row r="10" spans="1:13" x14ac:dyDescent="0.3">
      <c r="A10" s="10"/>
      <c r="B10" s="147"/>
      <c r="C10" s="147"/>
      <c r="D10" s="246"/>
      <c r="E10" s="246"/>
      <c r="F10" s="246"/>
      <c r="G10" s="246"/>
      <c r="H10" s="246"/>
      <c r="I10" s="246"/>
      <c r="J10" s="247"/>
      <c r="K10" s="11"/>
      <c r="L10" s="2"/>
      <c r="M10" s="2"/>
    </row>
    <row r="11" spans="1:13" s="6" customFormat="1" x14ac:dyDescent="0.3">
      <c r="A11" s="218" t="s">
        <v>12</v>
      </c>
      <c r="B11" s="219"/>
      <c r="C11" s="219"/>
      <c r="D11" s="219"/>
      <c r="E11" s="219"/>
      <c r="F11" s="219"/>
      <c r="G11" s="219"/>
      <c r="H11" s="219"/>
      <c r="I11" s="219"/>
      <c r="J11" s="220"/>
      <c r="K11" s="16"/>
      <c r="L11" s="2"/>
    </row>
    <row r="12" spans="1:13" s="6" customFormat="1" ht="114.75" customHeight="1" x14ac:dyDescent="0.3">
      <c r="A12" s="111" t="s">
        <v>13</v>
      </c>
      <c r="B12" s="209" t="s">
        <v>530</v>
      </c>
      <c r="C12" s="209"/>
      <c r="D12" s="209"/>
      <c r="E12" s="209"/>
      <c r="F12" s="209"/>
      <c r="G12" s="209"/>
      <c r="H12" s="209"/>
      <c r="I12" s="209"/>
      <c r="J12" s="210"/>
      <c r="K12" s="12"/>
      <c r="L12" s="2"/>
    </row>
  </sheetData>
  <mergeCells count="7">
    <mergeCell ref="B12:J12"/>
    <mergeCell ref="A1:H1"/>
    <mergeCell ref="D7:I7"/>
    <mergeCell ref="D8:I8"/>
    <mergeCell ref="D9:I9"/>
    <mergeCell ref="D10:J10"/>
    <mergeCell ref="A11:J11"/>
  </mergeCells>
  <hyperlinks>
    <hyperlink ref="D11" r:id="rId1" display="CST@2%" xr:uid="{00000000-0004-0000-37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L32"/>
  <sheetViews>
    <sheetView zoomScaleNormal="100" workbookViewId="0">
      <selection activeCell="E2" sqref="E2:G26"/>
    </sheetView>
  </sheetViews>
  <sheetFormatPr defaultColWidth="9.109375" defaultRowHeight="13.8" x14ac:dyDescent="0.3"/>
  <cols>
    <col min="1" max="1" width="6.109375" style="13" customWidth="1"/>
    <col min="2" max="2" width="11" style="13" bestFit="1" customWidth="1"/>
    <col min="3" max="4" width="12.5546875" style="6" customWidth="1"/>
    <col min="5" max="5" width="39.5546875" style="6" customWidth="1"/>
    <col min="6" max="6" width="5.88671875" style="14" bestFit="1" customWidth="1"/>
    <col min="7" max="7" width="5.33203125" style="14" customWidth="1"/>
    <col min="8" max="8" width="13.33203125" style="14" customWidth="1"/>
    <col min="9" max="9" width="13.33203125" style="14" bestFit="1" customWidth="1"/>
    <col min="10" max="10" width="11" style="112" bestFit="1" customWidth="1"/>
    <col min="11" max="11" width="10.44140625" style="112" bestFit="1" customWidth="1"/>
    <col min="12" max="12" width="18.6640625" style="112" bestFit="1" customWidth="1"/>
    <col min="13" max="13" width="10.5546875" style="14" bestFit="1" customWidth="1"/>
    <col min="14" max="16384" width="9.109375" style="14"/>
  </cols>
  <sheetData>
    <row r="1" spans="1:12" s="13" customFormat="1" ht="14.4" thickBot="1" x14ac:dyDescent="0.35">
      <c r="A1" s="243"/>
      <c r="B1" s="244"/>
      <c r="C1" s="244"/>
      <c r="D1" s="244"/>
      <c r="E1" s="244"/>
      <c r="F1" s="244"/>
      <c r="G1" s="245"/>
      <c r="H1" s="107"/>
      <c r="I1" s="108"/>
      <c r="J1" s="2"/>
      <c r="K1" s="3"/>
      <c r="L1" s="3"/>
    </row>
    <row r="2" spans="1:12" s="109" customFormat="1" x14ac:dyDescent="0.3">
      <c r="A2" s="149" t="s">
        <v>516</v>
      </c>
      <c r="B2" s="23" t="s">
        <v>532</v>
      </c>
      <c r="C2" s="23" t="s">
        <v>515</v>
      </c>
      <c r="D2" s="23" t="s">
        <v>185</v>
      </c>
      <c r="E2" s="22" t="s">
        <v>182</v>
      </c>
      <c r="F2" s="22" t="s">
        <v>2</v>
      </c>
      <c r="G2" s="22" t="s">
        <v>3</v>
      </c>
      <c r="H2" s="22" t="s">
        <v>6</v>
      </c>
      <c r="I2" s="150" t="s">
        <v>154</v>
      </c>
      <c r="J2" s="24" t="s">
        <v>61</v>
      </c>
      <c r="K2" s="24"/>
      <c r="L2" s="24"/>
    </row>
    <row r="3" spans="1:12" s="109" customFormat="1" ht="27.6" x14ac:dyDescent="0.3">
      <c r="A3" s="151">
        <f>ROW()-2</f>
        <v>1</v>
      </c>
      <c r="B3" s="148">
        <v>10</v>
      </c>
      <c r="C3" s="148">
        <v>1200002964</v>
      </c>
      <c r="D3" s="148">
        <v>4000012954</v>
      </c>
      <c r="E3" s="28" t="s">
        <v>536</v>
      </c>
      <c r="F3" s="27" t="s">
        <v>535</v>
      </c>
      <c r="G3" s="27">
        <v>1</v>
      </c>
      <c r="H3" s="31">
        <f>J3*88*1.35</f>
        <v>0</v>
      </c>
      <c r="I3" s="152">
        <f>H3*G3</f>
        <v>0</v>
      </c>
      <c r="J3" s="2"/>
      <c r="K3" s="2"/>
      <c r="L3" s="2"/>
    </row>
    <row r="4" spans="1:12" s="109" customFormat="1" ht="27.6" x14ac:dyDescent="0.3">
      <c r="A4" s="151">
        <f t="shared" ref="A4:A29" si="0">ROW()-2</f>
        <v>2</v>
      </c>
      <c r="B4" s="148">
        <v>20</v>
      </c>
      <c r="C4" s="148">
        <v>1200002964</v>
      </c>
      <c r="D4" s="148">
        <v>4000004857</v>
      </c>
      <c r="E4" s="28" t="s">
        <v>537</v>
      </c>
      <c r="F4" s="27" t="s">
        <v>535</v>
      </c>
      <c r="G4" s="27">
        <v>2</v>
      </c>
      <c r="H4" s="31">
        <f>J4*88*1.35</f>
        <v>0</v>
      </c>
      <c r="I4" s="152">
        <f>H4*G4</f>
        <v>0</v>
      </c>
      <c r="J4" s="2"/>
      <c r="K4" s="2"/>
      <c r="L4" s="2"/>
    </row>
    <row r="5" spans="1:12" s="109" customFormat="1" ht="27.6" x14ac:dyDescent="0.3">
      <c r="A5" s="151">
        <f t="shared" si="0"/>
        <v>3</v>
      </c>
      <c r="B5" s="148">
        <v>30</v>
      </c>
      <c r="C5" s="148">
        <v>1200002964</v>
      </c>
      <c r="D5" s="148">
        <v>4000002490</v>
      </c>
      <c r="E5" s="28" t="s">
        <v>538</v>
      </c>
      <c r="F5" s="27" t="s">
        <v>535</v>
      </c>
      <c r="G5" s="27">
        <v>2</v>
      </c>
      <c r="H5" s="31">
        <f>J5*88*1.35</f>
        <v>0</v>
      </c>
      <c r="I5" s="152">
        <f>H5*G5</f>
        <v>0</v>
      </c>
      <c r="J5" s="2"/>
      <c r="K5" s="2"/>
      <c r="L5" s="2"/>
    </row>
    <row r="6" spans="1:12" s="109" customFormat="1" ht="27.6" x14ac:dyDescent="0.3">
      <c r="A6" s="151">
        <f t="shared" si="0"/>
        <v>4</v>
      </c>
      <c r="B6" s="148">
        <v>40</v>
      </c>
      <c r="C6" s="148">
        <v>1200002964</v>
      </c>
      <c r="D6" s="148">
        <v>4000014462</v>
      </c>
      <c r="E6" s="28" t="s">
        <v>539</v>
      </c>
      <c r="F6" s="27" t="s">
        <v>535</v>
      </c>
      <c r="G6" s="27">
        <v>1</v>
      </c>
      <c r="H6" s="31">
        <f>J6*88*1.35</f>
        <v>0</v>
      </c>
      <c r="I6" s="152">
        <f>H6*G6</f>
        <v>0</v>
      </c>
      <c r="J6" s="2"/>
      <c r="K6" s="2"/>
      <c r="L6" s="2"/>
    </row>
    <row r="7" spans="1:12" s="109" customFormat="1" ht="27.6" x14ac:dyDescent="0.3">
      <c r="A7" s="151">
        <f t="shared" si="0"/>
        <v>5</v>
      </c>
      <c r="B7" s="148">
        <v>50</v>
      </c>
      <c r="C7" s="148">
        <v>1200002964</v>
      </c>
      <c r="D7" s="148">
        <v>4000014580</v>
      </c>
      <c r="E7" s="28" t="s">
        <v>540</v>
      </c>
      <c r="F7" s="27" t="s">
        <v>535</v>
      </c>
      <c r="G7" s="27">
        <v>1</v>
      </c>
      <c r="H7" s="31">
        <f t="shared" ref="H7:H26" si="1">J7*88*1.35</f>
        <v>0</v>
      </c>
      <c r="I7" s="152">
        <f t="shared" ref="I7:I26" si="2">H7*G7</f>
        <v>0</v>
      </c>
      <c r="J7" s="2"/>
      <c r="K7" s="2"/>
      <c r="L7" s="2"/>
    </row>
    <row r="8" spans="1:12" s="109" customFormat="1" ht="27.6" x14ac:dyDescent="0.3">
      <c r="A8" s="151">
        <f t="shared" si="0"/>
        <v>6</v>
      </c>
      <c r="B8" s="148">
        <v>60</v>
      </c>
      <c r="C8" s="148">
        <v>1200002964</v>
      </c>
      <c r="D8" s="148">
        <v>4000014539</v>
      </c>
      <c r="E8" s="28" t="s">
        <v>541</v>
      </c>
      <c r="F8" s="27" t="s">
        <v>535</v>
      </c>
      <c r="G8" s="27">
        <v>1</v>
      </c>
      <c r="H8" s="31">
        <f t="shared" si="1"/>
        <v>0</v>
      </c>
      <c r="I8" s="152">
        <f t="shared" si="2"/>
        <v>0</v>
      </c>
      <c r="J8" s="2"/>
      <c r="K8" s="2"/>
      <c r="L8" s="2"/>
    </row>
    <row r="9" spans="1:12" s="109" customFormat="1" ht="27.6" x14ac:dyDescent="0.3">
      <c r="A9" s="151">
        <f t="shared" si="0"/>
        <v>7</v>
      </c>
      <c r="B9" s="148">
        <v>70</v>
      </c>
      <c r="C9" s="148">
        <v>1200002964</v>
      </c>
      <c r="D9" s="148">
        <v>4000014507</v>
      </c>
      <c r="E9" s="28" t="s">
        <v>542</v>
      </c>
      <c r="F9" s="27" t="s">
        <v>535</v>
      </c>
      <c r="G9" s="27">
        <v>2</v>
      </c>
      <c r="H9" s="31">
        <f t="shared" si="1"/>
        <v>0</v>
      </c>
      <c r="I9" s="152">
        <f t="shared" si="2"/>
        <v>0</v>
      </c>
      <c r="J9" s="2"/>
      <c r="K9" s="2"/>
      <c r="L9" s="2"/>
    </row>
    <row r="10" spans="1:12" s="109" customFormat="1" ht="27.6" x14ac:dyDescent="0.3">
      <c r="A10" s="151">
        <f t="shared" si="0"/>
        <v>8</v>
      </c>
      <c r="B10" s="148">
        <v>80</v>
      </c>
      <c r="C10" s="148">
        <v>1200002964</v>
      </c>
      <c r="D10" s="148">
        <v>4000002278</v>
      </c>
      <c r="E10" s="28" t="s">
        <v>543</v>
      </c>
      <c r="F10" s="27" t="s">
        <v>535</v>
      </c>
      <c r="G10" s="27">
        <v>2</v>
      </c>
      <c r="H10" s="31">
        <f t="shared" si="1"/>
        <v>0</v>
      </c>
      <c r="I10" s="152">
        <f t="shared" si="2"/>
        <v>0</v>
      </c>
      <c r="J10" s="2"/>
      <c r="K10" s="2"/>
      <c r="L10" s="2"/>
    </row>
    <row r="11" spans="1:12" s="109" customFormat="1" ht="27.6" x14ac:dyDescent="0.3">
      <c r="A11" s="151">
        <f t="shared" si="0"/>
        <v>9</v>
      </c>
      <c r="B11" s="148">
        <v>90</v>
      </c>
      <c r="C11" s="148">
        <v>1200002964</v>
      </c>
      <c r="D11" s="148">
        <v>4000018711</v>
      </c>
      <c r="E11" s="28" t="s">
        <v>544</v>
      </c>
      <c r="F11" s="27" t="s">
        <v>535</v>
      </c>
      <c r="G11" s="27">
        <v>2</v>
      </c>
      <c r="H11" s="31">
        <f t="shared" si="1"/>
        <v>0</v>
      </c>
      <c r="I11" s="152">
        <f t="shared" si="2"/>
        <v>0</v>
      </c>
      <c r="J11" s="2"/>
      <c r="K11" s="2"/>
      <c r="L11" s="2"/>
    </row>
    <row r="12" spans="1:12" s="109" customFormat="1" ht="27.6" x14ac:dyDescent="0.3">
      <c r="A12" s="151">
        <f t="shared" si="0"/>
        <v>10</v>
      </c>
      <c r="B12" s="148">
        <v>100</v>
      </c>
      <c r="C12" s="148">
        <v>1200002964</v>
      </c>
      <c r="D12" s="148">
        <v>4000018712</v>
      </c>
      <c r="E12" s="28" t="s">
        <v>545</v>
      </c>
      <c r="F12" s="27" t="s">
        <v>535</v>
      </c>
      <c r="G12" s="27">
        <v>2</v>
      </c>
      <c r="H12" s="31">
        <f t="shared" si="1"/>
        <v>0</v>
      </c>
      <c r="I12" s="152">
        <f t="shared" si="2"/>
        <v>0</v>
      </c>
      <c r="J12" s="2"/>
      <c r="K12" s="2"/>
      <c r="L12" s="2"/>
    </row>
    <row r="13" spans="1:12" s="109" customFormat="1" ht="27.6" x14ac:dyDescent="0.3">
      <c r="A13" s="151">
        <f t="shared" si="0"/>
        <v>11</v>
      </c>
      <c r="B13" s="148">
        <v>110</v>
      </c>
      <c r="C13" s="148">
        <v>1200002964</v>
      </c>
      <c r="D13" s="148">
        <v>4000018713</v>
      </c>
      <c r="E13" s="28" t="s">
        <v>546</v>
      </c>
      <c r="F13" s="27" t="s">
        <v>535</v>
      </c>
      <c r="G13" s="27">
        <v>2</v>
      </c>
      <c r="H13" s="31">
        <f t="shared" si="1"/>
        <v>0</v>
      </c>
      <c r="I13" s="152">
        <f t="shared" si="2"/>
        <v>0</v>
      </c>
      <c r="J13" s="2"/>
      <c r="K13" s="2"/>
      <c r="L13" s="2"/>
    </row>
    <row r="14" spans="1:12" s="109" customFormat="1" ht="27.6" x14ac:dyDescent="0.3">
      <c r="A14" s="151">
        <f t="shared" si="0"/>
        <v>12</v>
      </c>
      <c r="B14" s="148">
        <v>120</v>
      </c>
      <c r="C14" s="148">
        <v>1200002964</v>
      </c>
      <c r="D14" s="148">
        <v>4000018713</v>
      </c>
      <c r="E14" s="28" t="s">
        <v>546</v>
      </c>
      <c r="F14" s="27" t="s">
        <v>535</v>
      </c>
      <c r="G14" s="27">
        <v>2</v>
      </c>
      <c r="H14" s="31">
        <f t="shared" si="1"/>
        <v>0</v>
      </c>
      <c r="I14" s="152">
        <f t="shared" si="2"/>
        <v>0</v>
      </c>
      <c r="J14" s="2"/>
      <c r="K14" s="2"/>
      <c r="L14" s="2"/>
    </row>
    <row r="15" spans="1:12" s="109" customFormat="1" x14ac:dyDescent="0.3">
      <c r="A15" s="151">
        <f t="shared" si="0"/>
        <v>13</v>
      </c>
      <c r="B15" s="148">
        <v>130</v>
      </c>
      <c r="C15" s="148">
        <v>1200002964</v>
      </c>
      <c r="D15" s="148">
        <v>4000018715</v>
      </c>
      <c r="E15" s="28" t="s">
        <v>547</v>
      </c>
      <c r="F15" s="27" t="s">
        <v>535</v>
      </c>
      <c r="G15" s="27">
        <v>2</v>
      </c>
      <c r="H15" s="31">
        <f t="shared" si="1"/>
        <v>0</v>
      </c>
      <c r="I15" s="152">
        <f t="shared" si="2"/>
        <v>0</v>
      </c>
      <c r="J15" s="2"/>
      <c r="K15" s="2"/>
      <c r="L15" s="2"/>
    </row>
    <row r="16" spans="1:12" s="109" customFormat="1" ht="27.6" x14ac:dyDescent="0.3">
      <c r="A16" s="151">
        <f t="shared" si="0"/>
        <v>14</v>
      </c>
      <c r="B16" s="148">
        <v>140</v>
      </c>
      <c r="C16" s="148">
        <v>1200002964</v>
      </c>
      <c r="D16" s="148">
        <v>4000014582</v>
      </c>
      <c r="E16" s="28" t="s">
        <v>548</v>
      </c>
      <c r="F16" s="27" t="s">
        <v>535</v>
      </c>
      <c r="G16" s="27">
        <v>2</v>
      </c>
      <c r="H16" s="31">
        <f t="shared" si="1"/>
        <v>0</v>
      </c>
      <c r="I16" s="152">
        <f t="shared" si="2"/>
        <v>0</v>
      </c>
      <c r="J16" s="2"/>
      <c r="K16" s="2"/>
      <c r="L16" s="2"/>
    </row>
    <row r="17" spans="1:12" s="109" customFormat="1" ht="27.6" x14ac:dyDescent="0.3">
      <c r="A17" s="151">
        <f t="shared" si="0"/>
        <v>15</v>
      </c>
      <c r="B17" s="148">
        <v>150</v>
      </c>
      <c r="C17" s="148">
        <v>1200002964</v>
      </c>
      <c r="D17" s="148">
        <v>4000014584</v>
      </c>
      <c r="E17" s="28" t="s">
        <v>549</v>
      </c>
      <c r="F17" s="27" t="s">
        <v>535</v>
      </c>
      <c r="G17" s="27">
        <v>5</v>
      </c>
      <c r="H17" s="31">
        <f t="shared" si="1"/>
        <v>0</v>
      </c>
      <c r="I17" s="152">
        <f t="shared" si="2"/>
        <v>0</v>
      </c>
      <c r="J17" s="2"/>
      <c r="K17" s="2"/>
      <c r="L17" s="2"/>
    </row>
    <row r="18" spans="1:12" s="109" customFormat="1" ht="27.6" x14ac:dyDescent="0.3">
      <c r="A18" s="151">
        <f t="shared" si="0"/>
        <v>16</v>
      </c>
      <c r="B18" s="148">
        <v>160</v>
      </c>
      <c r="C18" s="148">
        <v>1200002964</v>
      </c>
      <c r="D18" s="148">
        <v>4000018718</v>
      </c>
      <c r="E18" s="28" t="s">
        <v>550</v>
      </c>
      <c r="F18" s="27" t="s">
        <v>535</v>
      </c>
      <c r="G18" s="27">
        <v>5</v>
      </c>
      <c r="H18" s="31">
        <f t="shared" si="1"/>
        <v>0</v>
      </c>
      <c r="I18" s="152">
        <f t="shared" si="2"/>
        <v>0</v>
      </c>
      <c r="J18" s="2"/>
      <c r="K18" s="2"/>
      <c r="L18" s="2"/>
    </row>
    <row r="19" spans="1:12" s="109" customFormat="1" ht="27.6" x14ac:dyDescent="0.3">
      <c r="A19" s="151">
        <f t="shared" si="0"/>
        <v>17</v>
      </c>
      <c r="B19" s="148">
        <v>170</v>
      </c>
      <c r="C19" s="148">
        <v>1200002964</v>
      </c>
      <c r="D19" s="148">
        <v>4000018719</v>
      </c>
      <c r="E19" s="28" t="s">
        <v>551</v>
      </c>
      <c r="F19" s="27" t="s">
        <v>535</v>
      </c>
      <c r="G19" s="27">
        <v>3</v>
      </c>
      <c r="H19" s="31">
        <f t="shared" si="1"/>
        <v>0</v>
      </c>
      <c r="I19" s="152">
        <f t="shared" si="2"/>
        <v>0</v>
      </c>
      <c r="J19" s="2"/>
      <c r="K19" s="2"/>
      <c r="L19" s="2"/>
    </row>
    <row r="20" spans="1:12" s="109" customFormat="1" ht="27.6" x14ac:dyDescent="0.3">
      <c r="A20" s="151">
        <f t="shared" si="0"/>
        <v>18</v>
      </c>
      <c r="B20" s="148">
        <v>180</v>
      </c>
      <c r="C20" s="148">
        <v>1200002964</v>
      </c>
      <c r="D20" s="148">
        <v>4000014583</v>
      </c>
      <c r="E20" s="28" t="s">
        <v>552</v>
      </c>
      <c r="F20" s="27" t="s">
        <v>535</v>
      </c>
      <c r="G20" s="27">
        <v>7</v>
      </c>
      <c r="H20" s="31">
        <f t="shared" si="1"/>
        <v>0</v>
      </c>
      <c r="I20" s="152">
        <f t="shared" si="2"/>
        <v>0</v>
      </c>
      <c r="J20" s="2"/>
      <c r="K20" s="2"/>
      <c r="L20" s="2"/>
    </row>
    <row r="21" spans="1:12" s="109" customFormat="1" ht="41.4" x14ac:dyDescent="0.3">
      <c r="A21" s="151">
        <f t="shared" si="0"/>
        <v>19</v>
      </c>
      <c r="B21" s="148">
        <v>190</v>
      </c>
      <c r="C21" s="148">
        <v>1200002964</v>
      </c>
      <c r="D21" s="148">
        <v>4000018720</v>
      </c>
      <c r="E21" s="28" t="s">
        <v>553</v>
      </c>
      <c r="F21" s="27" t="s">
        <v>535</v>
      </c>
      <c r="G21" s="27">
        <v>5</v>
      </c>
      <c r="H21" s="31">
        <f t="shared" si="1"/>
        <v>0</v>
      </c>
      <c r="I21" s="152">
        <f t="shared" si="2"/>
        <v>0</v>
      </c>
      <c r="J21" s="2"/>
      <c r="K21" s="2"/>
      <c r="L21" s="2"/>
    </row>
    <row r="22" spans="1:12" s="109" customFormat="1" x14ac:dyDescent="0.3">
      <c r="A22" s="151">
        <f t="shared" si="0"/>
        <v>20</v>
      </c>
      <c r="B22" s="148">
        <v>200</v>
      </c>
      <c r="C22" s="148">
        <v>1200002964</v>
      </c>
      <c r="D22" s="148">
        <v>4000018721</v>
      </c>
      <c r="E22" s="28" t="s">
        <v>554</v>
      </c>
      <c r="F22" s="27" t="s">
        <v>535</v>
      </c>
      <c r="G22" s="27">
        <v>1</v>
      </c>
      <c r="H22" s="31">
        <f t="shared" si="1"/>
        <v>0</v>
      </c>
      <c r="I22" s="152">
        <f t="shared" si="2"/>
        <v>0</v>
      </c>
      <c r="J22" s="2"/>
      <c r="K22" s="2"/>
      <c r="L22" s="2"/>
    </row>
    <row r="23" spans="1:12" s="109" customFormat="1" x14ac:dyDescent="0.3">
      <c r="A23" s="151">
        <f t="shared" si="0"/>
        <v>21</v>
      </c>
      <c r="B23" s="148">
        <v>210</v>
      </c>
      <c r="C23" s="148">
        <v>1200002964</v>
      </c>
      <c r="D23" s="148">
        <v>4000018717</v>
      </c>
      <c r="E23" s="28" t="s">
        <v>555</v>
      </c>
      <c r="F23" s="27" t="s">
        <v>535</v>
      </c>
      <c r="G23" s="27">
        <v>4</v>
      </c>
      <c r="H23" s="31">
        <f t="shared" si="1"/>
        <v>0</v>
      </c>
      <c r="I23" s="152">
        <f t="shared" si="2"/>
        <v>0</v>
      </c>
      <c r="J23" s="2"/>
      <c r="K23" s="2"/>
      <c r="L23" s="2"/>
    </row>
    <row r="24" spans="1:12" s="109" customFormat="1" ht="27.6" x14ac:dyDescent="0.3">
      <c r="A24" s="151">
        <f t="shared" si="0"/>
        <v>22</v>
      </c>
      <c r="B24" s="148">
        <v>220</v>
      </c>
      <c r="C24" s="148">
        <v>1200002964</v>
      </c>
      <c r="D24" s="148">
        <v>4000018746</v>
      </c>
      <c r="E24" s="28" t="s">
        <v>556</v>
      </c>
      <c r="F24" s="27" t="s">
        <v>535</v>
      </c>
      <c r="G24" s="27">
        <v>1</v>
      </c>
      <c r="H24" s="31">
        <f t="shared" si="1"/>
        <v>0</v>
      </c>
      <c r="I24" s="152">
        <f t="shared" si="2"/>
        <v>0</v>
      </c>
      <c r="J24" s="2"/>
      <c r="K24" s="2"/>
      <c r="L24" s="2"/>
    </row>
    <row r="25" spans="1:12" s="109" customFormat="1" ht="27.6" x14ac:dyDescent="0.3">
      <c r="A25" s="151">
        <f t="shared" si="0"/>
        <v>23</v>
      </c>
      <c r="B25" s="148">
        <v>230</v>
      </c>
      <c r="C25" s="148">
        <v>1200002964</v>
      </c>
      <c r="D25" s="148">
        <v>4000018745</v>
      </c>
      <c r="E25" s="28" t="s">
        <v>557</v>
      </c>
      <c r="F25" s="27" t="s">
        <v>535</v>
      </c>
      <c r="G25" s="27">
        <v>1</v>
      </c>
      <c r="H25" s="31">
        <f t="shared" si="1"/>
        <v>0</v>
      </c>
      <c r="I25" s="152">
        <f t="shared" si="2"/>
        <v>0</v>
      </c>
      <c r="J25" s="2"/>
      <c r="K25" s="2"/>
      <c r="L25" s="2"/>
    </row>
    <row r="26" spans="1:12" s="109" customFormat="1" x14ac:dyDescent="0.3">
      <c r="A26" s="151">
        <f t="shared" si="0"/>
        <v>24</v>
      </c>
      <c r="B26" s="148">
        <v>240</v>
      </c>
      <c r="C26" s="148">
        <v>1200002964</v>
      </c>
      <c r="D26" s="148">
        <v>4000018742</v>
      </c>
      <c r="E26" s="28" t="s">
        <v>558</v>
      </c>
      <c r="F26" s="27" t="s">
        <v>534</v>
      </c>
      <c r="G26" s="27">
        <v>500</v>
      </c>
      <c r="H26" s="31">
        <f t="shared" si="1"/>
        <v>0</v>
      </c>
      <c r="I26" s="152">
        <f t="shared" si="2"/>
        <v>0</v>
      </c>
      <c r="J26" s="2"/>
      <c r="K26" s="2"/>
      <c r="L26" s="2"/>
    </row>
    <row r="27" spans="1:12" x14ac:dyDescent="0.3">
      <c r="A27" s="151">
        <f t="shared" si="0"/>
        <v>25</v>
      </c>
      <c r="B27" s="27"/>
      <c r="C27" s="214" t="s">
        <v>98</v>
      </c>
      <c r="D27" s="214"/>
      <c r="E27" s="214"/>
      <c r="F27" s="214"/>
      <c r="G27" s="214"/>
      <c r="H27" s="214"/>
      <c r="I27" s="153">
        <f>SUM(I3:I26)</f>
        <v>0</v>
      </c>
      <c r="J27" s="2"/>
      <c r="K27" s="2"/>
      <c r="L27" s="2"/>
    </row>
    <row r="28" spans="1:12" x14ac:dyDescent="0.3">
      <c r="A28" s="151">
        <f t="shared" si="0"/>
        <v>26</v>
      </c>
      <c r="B28" s="27"/>
      <c r="C28" s="214" t="s">
        <v>99</v>
      </c>
      <c r="D28" s="214"/>
      <c r="E28" s="214"/>
      <c r="F28" s="214"/>
      <c r="G28" s="214"/>
      <c r="H28" s="214"/>
      <c r="I28" s="153">
        <f>I27*18%</f>
        <v>0</v>
      </c>
      <c r="J28" s="2"/>
      <c r="K28" s="2"/>
      <c r="L28" s="2"/>
    </row>
    <row r="29" spans="1:12" ht="14.4" thickBot="1" x14ac:dyDescent="0.35">
      <c r="A29" s="151">
        <f t="shared" si="0"/>
        <v>27</v>
      </c>
      <c r="B29" s="155"/>
      <c r="C29" s="271" t="s">
        <v>9</v>
      </c>
      <c r="D29" s="271"/>
      <c r="E29" s="271"/>
      <c r="F29" s="271"/>
      <c r="G29" s="271"/>
      <c r="H29" s="271"/>
      <c r="I29" s="156">
        <f>SUM(I27:I28)</f>
        <v>0</v>
      </c>
      <c r="J29" s="2"/>
      <c r="K29" s="2"/>
      <c r="L29" s="2"/>
    </row>
    <row r="30" spans="1:12" x14ac:dyDescent="0.3">
      <c r="A30" s="10"/>
      <c r="B30" s="147"/>
      <c r="C30" s="246"/>
      <c r="D30" s="246"/>
      <c r="E30" s="246"/>
      <c r="F30" s="246"/>
      <c r="G30" s="246"/>
      <c r="H30" s="246"/>
      <c r="I30" s="247"/>
      <c r="J30" s="11"/>
      <c r="K30" s="2"/>
      <c r="L30" s="2"/>
    </row>
    <row r="31" spans="1:12" s="6" customFormat="1" x14ac:dyDescent="0.3">
      <c r="A31" s="218" t="s">
        <v>12</v>
      </c>
      <c r="B31" s="219"/>
      <c r="C31" s="219"/>
      <c r="D31" s="219"/>
      <c r="E31" s="219"/>
      <c r="F31" s="219"/>
      <c r="G31" s="219"/>
      <c r="H31" s="219"/>
      <c r="I31" s="220"/>
      <c r="J31" s="16"/>
      <c r="K31" s="2"/>
    </row>
    <row r="32" spans="1:12" s="6" customFormat="1" ht="114.75" customHeight="1" x14ac:dyDescent="0.3">
      <c r="A32" s="111" t="s">
        <v>13</v>
      </c>
      <c r="B32" s="209" t="s">
        <v>533</v>
      </c>
      <c r="C32" s="209"/>
      <c r="D32" s="209"/>
      <c r="E32" s="209"/>
      <c r="F32" s="209"/>
      <c r="G32" s="209"/>
      <c r="H32" s="209"/>
      <c r="I32" s="210"/>
      <c r="J32" s="12"/>
      <c r="K32" s="2"/>
    </row>
  </sheetData>
  <mergeCells count="7">
    <mergeCell ref="B32:I32"/>
    <mergeCell ref="A1:G1"/>
    <mergeCell ref="C27:H27"/>
    <mergeCell ref="C28:H28"/>
    <mergeCell ref="C29:H29"/>
    <mergeCell ref="C30:I30"/>
    <mergeCell ref="A31:I31"/>
  </mergeCells>
  <hyperlinks>
    <hyperlink ref="C31" r:id="rId1" display="CST@2%" xr:uid="{00000000-0004-0000-3800-000000000000}"/>
  </hyperlinks>
  <printOptions horizontalCentered="1"/>
  <pageMargins left="0.25" right="0.25" top="0.75" bottom="0.75" header="0.3" footer="0.3"/>
  <pageSetup scale="105" orientation="landscape" horizontalDpi="4294967292"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42A3-A1B1-4F73-BF1A-E64E3D501184}">
  <dimension ref="A1:K11"/>
  <sheetViews>
    <sheetView zoomScaleNormal="100" workbookViewId="0">
      <selection activeCell="G6" sqref="G6"/>
    </sheetView>
  </sheetViews>
  <sheetFormatPr defaultColWidth="9.109375" defaultRowHeight="13.8" x14ac:dyDescent="0.3"/>
  <cols>
    <col min="1" max="1" width="6.109375" style="13" customWidth="1"/>
    <col min="2" max="2" width="11" style="13" bestFit="1" customWidth="1"/>
    <col min="3" max="3" width="12.5546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0.44140625" style="112" bestFit="1" customWidth="1"/>
    <col min="11" max="11" width="18.6640625" style="112" bestFit="1" customWidth="1"/>
    <col min="12" max="12" width="10.5546875" style="14" bestFit="1" customWidth="1"/>
    <col min="13" max="16384" width="9.109375" style="14"/>
  </cols>
  <sheetData>
    <row r="1" spans="1:11" s="109" customFormat="1" x14ac:dyDescent="0.3">
      <c r="A1" s="157" t="s">
        <v>516</v>
      </c>
      <c r="B1" s="157" t="s">
        <v>559</v>
      </c>
      <c r="C1" s="157" t="s">
        <v>185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/>
    </row>
    <row r="2" spans="1:11" s="109" customFormat="1" ht="27.6" x14ac:dyDescent="0.3">
      <c r="A2" s="8">
        <f>ROW()-1</f>
        <v>1</v>
      </c>
      <c r="B2" s="8">
        <v>1200003071</v>
      </c>
      <c r="C2" s="8">
        <v>4000009744</v>
      </c>
      <c r="D2" s="158" t="s">
        <v>560</v>
      </c>
      <c r="E2" s="8" t="s">
        <v>535</v>
      </c>
      <c r="F2" s="8">
        <v>12</v>
      </c>
      <c r="G2" s="159">
        <f>I2*90*1.3</f>
        <v>7605</v>
      </c>
      <c r="H2" s="160">
        <f>G2*F2</f>
        <v>91260</v>
      </c>
      <c r="I2" s="85">
        <v>65</v>
      </c>
      <c r="J2" s="94">
        <v>45</v>
      </c>
      <c r="K2" s="2"/>
    </row>
    <row r="3" spans="1:11" s="109" customFormat="1" ht="27.6" x14ac:dyDescent="0.3">
      <c r="A3" s="8">
        <f t="shared" ref="A3:A9" si="0">ROW()-1</f>
        <v>2</v>
      </c>
      <c r="B3" s="8">
        <v>1200003071</v>
      </c>
      <c r="C3" s="8">
        <v>4000009622</v>
      </c>
      <c r="D3" s="158" t="s">
        <v>561</v>
      </c>
      <c r="E3" s="8" t="s">
        <v>535</v>
      </c>
      <c r="F3" s="8">
        <v>6</v>
      </c>
      <c r="G3" s="159">
        <f t="shared" ref="G3:G6" si="1">I3*90*1.3</f>
        <v>4680</v>
      </c>
      <c r="H3" s="160">
        <f>G3*F3</f>
        <v>28080</v>
      </c>
      <c r="I3" s="85">
        <v>40</v>
      </c>
      <c r="J3" s="94">
        <v>25</v>
      </c>
      <c r="K3" s="2"/>
    </row>
    <row r="4" spans="1:11" s="109" customFormat="1" ht="27.6" x14ac:dyDescent="0.3">
      <c r="A4" s="8">
        <f t="shared" si="0"/>
        <v>3</v>
      </c>
      <c r="B4" s="8">
        <v>1200003071</v>
      </c>
      <c r="C4" s="8">
        <v>4000009623</v>
      </c>
      <c r="D4" s="158" t="s">
        <v>562</v>
      </c>
      <c r="E4" s="8" t="s">
        <v>535</v>
      </c>
      <c r="F4" s="8">
        <v>6</v>
      </c>
      <c r="G4" s="159">
        <f t="shared" si="1"/>
        <v>4095</v>
      </c>
      <c r="H4" s="160">
        <f>G4*F4</f>
        <v>24570</v>
      </c>
      <c r="I4" s="85">
        <v>35</v>
      </c>
      <c r="J4" s="94">
        <v>20</v>
      </c>
      <c r="K4" s="2"/>
    </row>
    <row r="5" spans="1:11" s="109" customFormat="1" ht="27.6" x14ac:dyDescent="0.3">
      <c r="A5" s="8">
        <f t="shared" si="0"/>
        <v>4</v>
      </c>
      <c r="B5" s="8">
        <v>1200003071</v>
      </c>
      <c r="C5" s="8">
        <v>4000009706</v>
      </c>
      <c r="D5" s="158" t="s">
        <v>563</v>
      </c>
      <c r="E5" s="8" t="s">
        <v>535</v>
      </c>
      <c r="F5" s="8">
        <v>10</v>
      </c>
      <c r="G5" s="159">
        <f t="shared" si="1"/>
        <v>8190</v>
      </c>
      <c r="H5" s="160">
        <f>G5*F5</f>
        <v>81900</v>
      </c>
      <c r="I5" s="85">
        <v>70</v>
      </c>
      <c r="J5" s="94">
        <v>50</v>
      </c>
      <c r="K5" s="2"/>
    </row>
    <row r="6" spans="1:11" s="109" customFormat="1" ht="27.6" x14ac:dyDescent="0.3">
      <c r="A6" s="8">
        <f t="shared" si="0"/>
        <v>5</v>
      </c>
      <c r="B6" s="8">
        <v>1200003071</v>
      </c>
      <c r="C6" s="8">
        <v>4000016042</v>
      </c>
      <c r="D6" s="158" t="s">
        <v>564</v>
      </c>
      <c r="E6" s="8" t="s">
        <v>535</v>
      </c>
      <c r="F6" s="8">
        <v>2</v>
      </c>
      <c r="G6" s="159">
        <f t="shared" si="1"/>
        <v>16965</v>
      </c>
      <c r="H6" s="160">
        <f t="shared" ref="H6" si="2">G6*F6</f>
        <v>33930</v>
      </c>
      <c r="I6" s="85">
        <v>145</v>
      </c>
      <c r="J6" s="94">
        <v>105</v>
      </c>
      <c r="K6" s="2"/>
    </row>
    <row r="7" spans="1:11" x14ac:dyDescent="0.3">
      <c r="A7" s="8">
        <f t="shared" si="0"/>
        <v>6</v>
      </c>
      <c r="B7" s="8"/>
      <c r="C7" s="273" t="s">
        <v>565</v>
      </c>
      <c r="D7" s="273"/>
      <c r="E7" s="273"/>
      <c r="F7" s="273"/>
      <c r="G7" s="273"/>
      <c r="H7" s="161">
        <f>SUM(H2:H6)</f>
        <v>259740</v>
      </c>
      <c r="I7" s="2"/>
      <c r="J7" s="2"/>
      <c r="K7" s="2"/>
    </row>
    <row r="8" spans="1:11" x14ac:dyDescent="0.3">
      <c r="A8" s="8">
        <f t="shared" si="0"/>
        <v>7</v>
      </c>
      <c r="B8" s="8"/>
      <c r="C8" s="273" t="s">
        <v>99</v>
      </c>
      <c r="D8" s="273"/>
      <c r="E8" s="273"/>
      <c r="F8" s="273"/>
      <c r="G8" s="273"/>
      <c r="H8" s="161">
        <f>H7*18%</f>
        <v>46753.2</v>
      </c>
      <c r="I8" s="2"/>
      <c r="J8" s="2"/>
      <c r="K8" s="2"/>
    </row>
    <row r="9" spans="1:11" x14ac:dyDescent="0.3">
      <c r="A9" s="8">
        <f t="shared" si="0"/>
        <v>8</v>
      </c>
      <c r="B9" s="8"/>
      <c r="C9" s="273" t="s">
        <v>9</v>
      </c>
      <c r="D9" s="273"/>
      <c r="E9" s="273"/>
      <c r="F9" s="273"/>
      <c r="G9" s="273"/>
      <c r="H9" s="161">
        <f>SUM(H7:H8)</f>
        <v>306493.2</v>
      </c>
      <c r="I9" s="2"/>
      <c r="J9" s="2"/>
      <c r="K9" s="2"/>
    </row>
    <row r="10" spans="1:11" s="6" customFormat="1" x14ac:dyDescent="0.3">
      <c r="A10" s="274" t="s">
        <v>12</v>
      </c>
      <c r="B10" s="274"/>
      <c r="C10" s="274"/>
      <c r="D10" s="274"/>
      <c r="E10" s="274"/>
      <c r="F10" s="274"/>
      <c r="G10" s="274"/>
      <c r="H10" s="274"/>
      <c r="I10" s="16"/>
      <c r="J10" s="2"/>
    </row>
    <row r="11" spans="1:11" s="6" customFormat="1" ht="138" customHeight="1" x14ac:dyDescent="0.3">
      <c r="A11" s="162" t="s">
        <v>13</v>
      </c>
      <c r="B11" s="272" t="s">
        <v>533</v>
      </c>
      <c r="C11" s="272"/>
      <c r="D11" s="272"/>
      <c r="E11" s="272"/>
      <c r="F11" s="272"/>
      <c r="G11" s="272"/>
      <c r="H11" s="272"/>
      <c r="I11" s="12"/>
      <c r="J11" s="2"/>
    </row>
  </sheetData>
  <mergeCells count="5">
    <mergeCell ref="B11:H11"/>
    <mergeCell ref="C7:G7"/>
    <mergeCell ref="C8:G8"/>
    <mergeCell ref="C9:G9"/>
    <mergeCell ref="A10:H10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375D-2722-44D0-9974-60781D9ADDE4}">
  <dimension ref="A1:L7"/>
  <sheetViews>
    <sheetView zoomScaleNormal="100" workbookViewId="0">
      <selection activeCell="L2" sqref="L2"/>
    </sheetView>
  </sheetViews>
  <sheetFormatPr defaultColWidth="9.109375" defaultRowHeight="13.8" x14ac:dyDescent="0.3"/>
  <cols>
    <col min="1" max="1" width="6.109375" style="13" customWidth="1"/>
    <col min="2" max="2" width="11" style="13" bestFit="1" customWidth="1"/>
    <col min="3" max="3" width="12.5546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0.5546875" style="14" bestFit="1" customWidth="1"/>
    <col min="13" max="16384" width="9.109375" style="14"/>
  </cols>
  <sheetData>
    <row r="1" spans="1:12" s="109" customFormat="1" x14ac:dyDescent="0.3">
      <c r="A1" s="157" t="s">
        <v>516</v>
      </c>
      <c r="B1" s="157" t="s">
        <v>559</v>
      </c>
      <c r="C1" s="157" t="s">
        <v>185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567</v>
      </c>
      <c r="K1" s="24" t="s">
        <v>153</v>
      </c>
      <c r="L1" s="109" t="s">
        <v>60</v>
      </c>
    </row>
    <row r="2" spans="1:12" s="109" customFormat="1" ht="82.8" x14ac:dyDescent="0.3">
      <c r="A2" s="8">
        <f>ROW()-1</f>
        <v>1</v>
      </c>
      <c r="B2" s="8">
        <v>1200003363</v>
      </c>
      <c r="C2" s="8">
        <v>4000006960</v>
      </c>
      <c r="D2" s="158" t="s">
        <v>566</v>
      </c>
      <c r="E2" s="8" t="s">
        <v>535</v>
      </c>
      <c r="F2" s="8">
        <v>15</v>
      </c>
      <c r="G2" s="159">
        <f>I2*95*1.3</f>
        <v>2346.5</v>
      </c>
      <c r="H2" s="160">
        <f>G2*F2</f>
        <v>35197.5</v>
      </c>
      <c r="I2" s="164">
        <v>19</v>
      </c>
      <c r="J2" s="163">
        <v>15.4</v>
      </c>
      <c r="K2" s="165">
        <v>132</v>
      </c>
      <c r="L2" s="166">
        <v>74.5</v>
      </c>
    </row>
    <row r="3" spans="1:12" x14ac:dyDescent="0.3">
      <c r="A3" s="8">
        <f t="shared" ref="A3:A5" si="0">ROW()-1</f>
        <v>2</v>
      </c>
      <c r="B3" s="8"/>
      <c r="C3" s="273" t="s">
        <v>565</v>
      </c>
      <c r="D3" s="273"/>
      <c r="E3" s="273"/>
      <c r="F3" s="273"/>
      <c r="G3" s="273"/>
      <c r="H3" s="161">
        <f>SUM(H2:H2)</f>
        <v>35197.5</v>
      </c>
      <c r="I3" s="2"/>
      <c r="J3" s="2"/>
      <c r="K3" s="2"/>
    </row>
    <row r="4" spans="1:12" x14ac:dyDescent="0.3">
      <c r="A4" s="8">
        <f t="shared" si="0"/>
        <v>3</v>
      </c>
      <c r="B4" s="8"/>
      <c r="C4" s="273" t="s">
        <v>99</v>
      </c>
      <c r="D4" s="273"/>
      <c r="E4" s="273"/>
      <c r="F4" s="273"/>
      <c r="G4" s="273"/>
      <c r="H4" s="161">
        <f>H3*18%</f>
        <v>6335.55</v>
      </c>
      <c r="I4" s="2"/>
      <c r="J4" s="2"/>
      <c r="K4" s="2"/>
    </row>
    <row r="5" spans="1:12" x14ac:dyDescent="0.3">
      <c r="A5" s="8">
        <f t="shared" si="0"/>
        <v>4</v>
      </c>
      <c r="B5" s="8"/>
      <c r="C5" s="273" t="s">
        <v>9</v>
      </c>
      <c r="D5" s="273"/>
      <c r="E5" s="273"/>
      <c r="F5" s="273"/>
      <c r="G5" s="273"/>
      <c r="H5" s="161">
        <f>SUM(H3:H4)</f>
        <v>41533.050000000003</v>
      </c>
      <c r="I5" s="2"/>
      <c r="J5" s="2"/>
      <c r="K5" s="2"/>
    </row>
    <row r="6" spans="1:12" s="6" customFormat="1" x14ac:dyDescent="0.3">
      <c r="A6" s="274" t="s">
        <v>12</v>
      </c>
      <c r="B6" s="274"/>
      <c r="C6" s="274"/>
      <c r="D6" s="274"/>
      <c r="E6" s="274"/>
      <c r="F6" s="274"/>
      <c r="G6" s="274"/>
      <c r="H6" s="274"/>
      <c r="I6" s="16"/>
      <c r="J6" s="2"/>
    </row>
    <row r="7" spans="1:12" s="6" customFormat="1" ht="138" customHeight="1" x14ac:dyDescent="0.3">
      <c r="A7" s="162" t="s">
        <v>13</v>
      </c>
      <c r="B7" s="272" t="s">
        <v>533</v>
      </c>
      <c r="C7" s="272"/>
      <c r="D7" s="272"/>
      <c r="E7" s="272"/>
      <c r="F7" s="272"/>
      <c r="G7" s="272"/>
      <c r="H7" s="272"/>
      <c r="I7" s="12"/>
      <c r="J7" s="2"/>
    </row>
  </sheetData>
  <mergeCells count="5">
    <mergeCell ref="C3:G3"/>
    <mergeCell ref="C4:G4"/>
    <mergeCell ref="C5:G5"/>
    <mergeCell ref="A6:H6"/>
    <mergeCell ref="B7:H7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010FD-21C0-4D33-A659-F9E8FEDEEE6C}">
  <dimension ref="A1:L8"/>
  <sheetViews>
    <sheetView zoomScaleNormal="100" workbookViewId="0">
      <selection activeCell="D1" sqref="D1:F3"/>
    </sheetView>
  </sheetViews>
  <sheetFormatPr defaultColWidth="9.109375" defaultRowHeight="13.8" x14ac:dyDescent="0.3"/>
  <cols>
    <col min="1" max="1" width="6.109375" style="13" customWidth="1"/>
    <col min="2" max="2" width="11" style="13" bestFit="1" customWidth="1"/>
    <col min="3" max="3" width="12.5546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0.5546875" style="14" bestFit="1" customWidth="1"/>
    <col min="13" max="16384" width="9.109375" style="14"/>
  </cols>
  <sheetData>
    <row r="1" spans="1:12" s="109" customFormat="1" x14ac:dyDescent="0.3">
      <c r="A1" s="157" t="s">
        <v>516</v>
      </c>
      <c r="B1" s="157" t="s">
        <v>559</v>
      </c>
      <c r="C1" s="157" t="s">
        <v>185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567</v>
      </c>
      <c r="K1" s="24" t="s">
        <v>153</v>
      </c>
      <c r="L1" s="109" t="s">
        <v>60</v>
      </c>
    </row>
    <row r="2" spans="1:12" s="109" customFormat="1" ht="55.2" x14ac:dyDescent="0.3">
      <c r="A2" s="8">
        <f>ROW()-1</f>
        <v>1</v>
      </c>
      <c r="B2" s="8">
        <v>1200003688</v>
      </c>
      <c r="C2" s="8">
        <v>4000017783</v>
      </c>
      <c r="D2" s="158" t="s">
        <v>568</v>
      </c>
      <c r="E2" s="8" t="s">
        <v>263</v>
      </c>
      <c r="F2" s="8">
        <v>4</v>
      </c>
      <c r="G2" s="159">
        <f>I2*95*1.3</f>
        <v>0</v>
      </c>
      <c r="H2" s="160">
        <f>G2*F2</f>
        <v>0</v>
      </c>
      <c r="I2" s="164"/>
      <c r="J2" s="163"/>
      <c r="K2" s="165"/>
      <c r="L2" s="166"/>
    </row>
    <row r="3" spans="1:12" s="109" customFormat="1" ht="69" x14ac:dyDescent="0.3">
      <c r="A3" s="8">
        <f>ROW()-1</f>
        <v>2</v>
      </c>
      <c r="B3" s="8">
        <v>1200003688</v>
      </c>
      <c r="C3" s="8">
        <v>4000017784</v>
      </c>
      <c r="D3" s="158" t="s">
        <v>569</v>
      </c>
      <c r="E3" s="8" t="s">
        <v>263</v>
      </c>
      <c r="F3" s="8">
        <v>4</v>
      </c>
      <c r="G3" s="159">
        <f>I3*95*1.3</f>
        <v>0</v>
      </c>
      <c r="H3" s="160">
        <f>G3*F3</f>
        <v>0</v>
      </c>
      <c r="I3" s="164"/>
      <c r="J3" s="163"/>
      <c r="K3" s="165"/>
      <c r="L3" s="166"/>
    </row>
    <row r="4" spans="1:12" x14ac:dyDescent="0.3">
      <c r="A4" s="8">
        <f t="shared" ref="A4:A6" si="0">ROW()-1</f>
        <v>3</v>
      </c>
      <c r="B4" s="8"/>
      <c r="C4" s="273" t="s">
        <v>565</v>
      </c>
      <c r="D4" s="273"/>
      <c r="E4" s="273"/>
      <c r="F4" s="273"/>
      <c r="G4" s="273"/>
      <c r="H4" s="161">
        <f>SUM(H2:H2)</f>
        <v>0</v>
      </c>
      <c r="I4" s="2"/>
      <c r="J4" s="2"/>
      <c r="K4" s="2"/>
    </row>
    <row r="5" spans="1:12" x14ac:dyDescent="0.3">
      <c r="A5" s="8">
        <f t="shared" si="0"/>
        <v>4</v>
      </c>
      <c r="B5" s="8"/>
      <c r="C5" s="273" t="s">
        <v>99</v>
      </c>
      <c r="D5" s="273"/>
      <c r="E5" s="273"/>
      <c r="F5" s="273"/>
      <c r="G5" s="273"/>
      <c r="H5" s="161">
        <f>H4*18%</f>
        <v>0</v>
      </c>
      <c r="I5" s="2"/>
      <c r="J5" s="2"/>
      <c r="K5" s="2"/>
    </row>
    <row r="6" spans="1:12" x14ac:dyDescent="0.3">
      <c r="A6" s="8">
        <f t="shared" si="0"/>
        <v>5</v>
      </c>
      <c r="B6" s="8"/>
      <c r="C6" s="273" t="s">
        <v>9</v>
      </c>
      <c r="D6" s="273"/>
      <c r="E6" s="273"/>
      <c r="F6" s="273"/>
      <c r="G6" s="273"/>
      <c r="H6" s="161">
        <f>SUM(H4:H5)</f>
        <v>0</v>
      </c>
      <c r="I6" s="2"/>
      <c r="J6" s="2"/>
      <c r="K6" s="2"/>
    </row>
    <row r="7" spans="1:12" s="6" customFormat="1" x14ac:dyDescent="0.3">
      <c r="A7" s="274" t="s">
        <v>12</v>
      </c>
      <c r="B7" s="274"/>
      <c r="C7" s="274"/>
      <c r="D7" s="274"/>
      <c r="E7" s="274"/>
      <c r="F7" s="274"/>
      <c r="G7" s="274"/>
      <c r="H7" s="274"/>
      <c r="I7" s="16"/>
      <c r="J7" s="2"/>
    </row>
    <row r="8" spans="1:12" s="6" customFormat="1" ht="138" customHeight="1" x14ac:dyDescent="0.3">
      <c r="A8" s="162" t="s">
        <v>13</v>
      </c>
      <c r="B8" s="272" t="s">
        <v>533</v>
      </c>
      <c r="C8" s="272"/>
      <c r="D8" s="272"/>
      <c r="E8" s="272"/>
      <c r="F8" s="272"/>
      <c r="G8" s="272"/>
      <c r="H8" s="272"/>
      <c r="I8" s="12"/>
      <c r="J8" s="2"/>
    </row>
  </sheetData>
  <mergeCells count="5">
    <mergeCell ref="C4:G4"/>
    <mergeCell ref="C5:G5"/>
    <mergeCell ref="C6:G6"/>
    <mergeCell ref="A7:H7"/>
    <mergeCell ref="B8:H8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B2447-072A-45AB-9894-86A99277206E}">
  <dimension ref="A1:L7"/>
  <sheetViews>
    <sheetView zoomScaleNormal="100" workbookViewId="0">
      <selection activeCell="B8" sqref="B8"/>
    </sheetView>
  </sheetViews>
  <sheetFormatPr defaultColWidth="9.109375" defaultRowHeight="13.8" x14ac:dyDescent="0.3"/>
  <cols>
    <col min="1" max="1" width="6.109375" style="13" customWidth="1"/>
    <col min="2" max="2" width="11" style="13" bestFit="1" customWidth="1"/>
    <col min="3" max="3" width="12.5546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0.5546875" style="14" bestFit="1" customWidth="1"/>
    <col min="13" max="16384" width="9.109375" style="14"/>
  </cols>
  <sheetData>
    <row r="1" spans="1:12" s="109" customFormat="1" x14ac:dyDescent="0.3">
      <c r="A1" s="157" t="s">
        <v>516</v>
      </c>
      <c r="B1" s="157" t="s">
        <v>559</v>
      </c>
      <c r="C1" s="157" t="s">
        <v>185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153</v>
      </c>
      <c r="K1" s="24"/>
    </row>
    <row r="2" spans="1:12" s="109" customFormat="1" ht="55.2" x14ac:dyDescent="0.3">
      <c r="A2" s="8">
        <f>ROW()-1</f>
        <v>1</v>
      </c>
      <c r="B2" s="8">
        <v>1200003626</v>
      </c>
      <c r="C2" s="8">
        <v>4000009136</v>
      </c>
      <c r="D2" s="158" t="s">
        <v>276</v>
      </c>
      <c r="E2" s="8" t="s">
        <v>263</v>
      </c>
      <c r="F2" s="8">
        <v>100</v>
      </c>
      <c r="G2" s="159">
        <f>I2*93*1.33</f>
        <v>4205.46</v>
      </c>
      <c r="H2" s="160">
        <f>G2*F2</f>
        <v>420546</v>
      </c>
      <c r="I2" s="164">
        <v>34</v>
      </c>
      <c r="J2" s="167">
        <v>34</v>
      </c>
      <c r="K2" s="165"/>
      <c r="L2" s="166"/>
    </row>
    <row r="3" spans="1:12" s="109" customFormat="1" x14ac:dyDescent="0.3">
      <c r="A3" s="8">
        <f>ROW()-1</f>
        <v>2</v>
      </c>
      <c r="B3" s="168"/>
      <c r="C3" s="273" t="s">
        <v>154</v>
      </c>
      <c r="D3" s="273"/>
      <c r="E3" s="273"/>
      <c r="F3" s="273"/>
      <c r="G3" s="273"/>
      <c r="H3" s="160">
        <f>H2</f>
        <v>420546</v>
      </c>
      <c r="I3" s="164"/>
      <c r="J3" s="167"/>
      <c r="K3" s="165"/>
      <c r="L3" s="166"/>
    </row>
    <row r="4" spans="1:12" x14ac:dyDescent="0.3">
      <c r="A4" s="8">
        <f t="shared" ref="A4:A5" si="0">ROW()-1</f>
        <v>3</v>
      </c>
      <c r="B4" s="8"/>
      <c r="C4" s="273" t="s">
        <v>99</v>
      </c>
      <c r="D4" s="273"/>
      <c r="E4" s="273"/>
      <c r="F4" s="273"/>
      <c r="G4" s="273"/>
      <c r="H4" s="161">
        <f>H3*18%</f>
        <v>75698.28</v>
      </c>
      <c r="I4" s="2"/>
      <c r="J4" s="2"/>
      <c r="K4" s="2"/>
    </row>
    <row r="5" spans="1:12" x14ac:dyDescent="0.3">
      <c r="A5" s="8">
        <f t="shared" si="0"/>
        <v>4</v>
      </c>
      <c r="B5" s="8"/>
      <c r="C5" s="273" t="s">
        <v>9</v>
      </c>
      <c r="D5" s="273"/>
      <c r="E5" s="273"/>
      <c r="F5" s="273"/>
      <c r="G5" s="273"/>
      <c r="H5" s="161">
        <f>SUM(H3:H4)</f>
        <v>496244.28</v>
      </c>
      <c r="I5" s="2"/>
      <c r="J5" s="2"/>
      <c r="K5" s="2"/>
    </row>
    <row r="6" spans="1:12" s="6" customFormat="1" x14ac:dyDescent="0.3">
      <c r="A6" s="274" t="s">
        <v>12</v>
      </c>
      <c r="B6" s="274"/>
      <c r="C6" s="274"/>
      <c r="D6" s="274"/>
      <c r="E6" s="274"/>
      <c r="F6" s="274"/>
      <c r="G6" s="274"/>
      <c r="H6" s="274"/>
      <c r="I6" s="16"/>
      <c r="J6" s="2"/>
    </row>
    <row r="7" spans="1:12" s="6" customFormat="1" ht="141" customHeight="1" x14ac:dyDescent="0.3">
      <c r="A7" s="162" t="s">
        <v>570</v>
      </c>
      <c r="B7" s="272" t="s">
        <v>571</v>
      </c>
      <c r="C7" s="272"/>
      <c r="D7" s="272"/>
      <c r="E7" s="272"/>
      <c r="F7" s="272"/>
      <c r="G7" s="272"/>
      <c r="H7" s="272"/>
      <c r="I7" s="12"/>
      <c r="J7" s="2"/>
    </row>
  </sheetData>
  <mergeCells count="5">
    <mergeCell ref="C3:G3"/>
    <mergeCell ref="C4:G4"/>
    <mergeCell ref="C5:G5"/>
    <mergeCell ref="A6:H6"/>
    <mergeCell ref="B7:H7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4894-A230-4B1F-979F-7F23E9B35CF3}">
  <dimension ref="A1:L15"/>
  <sheetViews>
    <sheetView zoomScaleNormal="100" workbookViewId="0">
      <selection sqref="A1:H15"/>
    </sheetView>
  </sheetViews>
  <sheetFormatPr defaultColWidth="9.109375" defaultRowHeight="13.8" x14ac:dyDescent="0.3"/>
  <cols>
    <col min="1" max="1" width="6.109375" style="13" customWidth="1"/>
    <col min="2" max="2" width="14.5546875" style="13" bestFit="1" customWidth="1"/>
    <col min="3" max="3" width="16.88671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0.5546875" style="14" bestFit="1" customWidth="1"/>
    <col min="13" max="16384" width="9.109375" style="14"/>
  </cols>
  <sheetData>
    <row r="1" spans="1:12" s="109" customFormat="1" x14ac:dyDescent="0.3">
      <c r="A1" s="157" t="s">
        <v>516</v>
      </c>
      <c r="B1" s="157" t="s">
        <v>578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/>
    </row>
    <row r="2" spans="1:12" s="109" customFormat="1" x14ac:dyDescent="0.3">
      <c r="A2" s="8">
        <f>ROW()-1</f>
        <v>1</v>
      </c>
      <c r="B2" s="8" t="s">
        <v>573</v>
      </c>
      <c r="C2" s="8" t="s">
        <v>576</v>
      </c>
      <c r="D2" s="158" t="s">
        <v>580</v>
      </c>
      <c r="E2" s="8" t="s">
        <v>263</v>
      </c>
      <c r="F2" s="8">
        <v>1</v>
      </c>
      <c r="G2" s="159">
        <f>I2*95*1.5</f>
        <v>8045550</v>
      </c>
      <c r="H2" s="160">
        <f>G2*F2</f>
        <v>8045550</v>
      </c>
      <c r="I2" s="167">
        <v>56460</v>
      </c>
      <c r="J2" s="167">
        <v>56460</v>
      </c>
      <c r="K2" s="165"/>
      <c r="L2" s="166"/>
    </row>
    <row r="3" spans="1:12" s="109" customFormat="1" x14ac:dyDescent="0.3">
      <c r="A3" s="8">
        <f t="shared" ref="A3:A5" si="0">ROW()-1</f>
        <v>2</v>
      </c>
      <c r="B3" s="8" t="s">
        <v>574</v>
      </c>
      <c r="C3" s="8" t="s">
        <v>577</v>
      </c>
      <c r="D3" s="158" t="s">
        <v>581</v>
      </c>
      <c r="E3" s="8" t="s">
        <v>263</v>
      </c>
      <c r="F3" s="8">
        <v>20</v>
      </c>
      <c r="G3" s="159">
        <f t="shared" ref="G3:G10" si="1">I3*95*1.5</f>
        <v>95475</v>
      </c>
      <c r="H3" s="160">
        <f t="shared" ref="H3:H10" si="2">G3*F3</f>
        <v>1909500</v>
      </c>
      <c r="I3" s="167">
        <v>670</v>
      </c>
      <c r="J3" s="167">
        <v>670</v>
      </c>
      <c r="K3" s="165"/>
      <c r="L3" s="166"/>
    </row>
    <row r="4" spans="1:12" s="109" customFormat="1" x14ac:dyDescent="0.3">
      <c r="A4" s="8">
        <f t="shared" si="0"/>
        <v>3</v>
      </c>
      <c r="B4" s="8" t="s">
        <v>575</v>
      </c>
      <c r="C4" s="8"/>
      <c r="D4" s="158" t="s">
        <v>582</v>
      </c>
      <c r="E4" s="8" t="s">
        <v>263</v>
      </c>
      <c r="F4" s="8">
        <v>80</v>
      </c>
      <c r="G4" s="159">
        <f t="shared" si="1"/>
        <v>11400</v>
      </c>
      <c r="H4" s="160">
        <f t="shared" si="2"/>
        <v>912000</v>
      </c>
      <c r="I4" s="167">
        <v>80</v>
      </c>
      <c r="J4" s="167">
        <v>80</v>
      </c>
      <c r="K4" s="165"/>
      <c r="L4" s="166"/>
    </row>
    <row r="5" spans="1:12" s="109" customFormat="1" x14ac:dyDescent="0.3">
      <c r="A5" s="8">
        <f t="shared" si="0"/>
        <v>4</v>
      </c>
      <c r="B5" s="275" t="s">
        <v>572</v>
      </c>
      <c r="C5" s="276"/>
      <c r="D5" s="277"/>
      <c r="E5" s="8"/>
      <c r="F5" s="8"/>
      <c r="G5" s="159"/>
      <c r="H5" s="160"/>
      <c r="I5" s="167"/>
      <c r="J5" s="167"/>
      <c r="K5" s="165"/>
      <c r="L5" s="166"/>
    </row>
    <row r="6" spans="1:12" s="109" customFormat="1" x14ac:dyDescent="0.3">
      <c r="A6" s="8">
        <v>4.0999999999999996</v>
      </c>
      <c r="B6" s="8" t="s">
        <v>583</v>
      </c>
      <c r="C6" s="8">
        <v>15</v>
      </c>
      <c r="D6" s="158" t="s">
        <v>584</v>
      </c>
      <c r="E6" s="8" t="s">
        <v>263</v>
      </c>
      <c r="F6" s="8">
        <v>1</v>
      </c>
      <c r="G6" s="159">
        <f t="shared" si="1"/>
        <v>954750</v>
      </c>
      <c r="H6" s="160">
        <f t="shared" si="2"/>
        <v>954750</v>
      </c>
      <c r="I6" s="167">
        <v>6700</v>
      </c>
      <c r="J6" s="167">
        <v>6700</v>
      </c>
      <c r="K6" s="165"/>
      <c r="L6" s="166"/>
    </row>
    <row r="7" spans="1:12" s="109" customFormat="1" x14ac:dyDescent="0.3">
      <c r="A7" s="8">
        <v>4.2</v>
      </c>
      <c r="B7" s="8" t="s">
        <v>583</v>
      </c>
      <c r="C7" s="8">
        <v>16</v>
      </c>
      <c r="D7" s="158" t="s">
        <v>585</v>
      </c>
      <c r="E7" s="8" t="s">
        <v>263</v>
      </c>
      <c r="F7" s="8">
        <v>1</v>
      </c>
      <c r="G7" s="159">
        <f t="shared" si="1"/>
        <v>86925</v>
      </c>
      <c r="H7" s="160">
        <f t="shared" si="2"/>
        <v>86925</v>
      </c>
      <c r="I7" s="167">
        <v>610</v>
      </c>
      <c r="J7" s="167">
        <v>610</v>
      </c>
      <c r="K7" s="165"/>
      <c r="L7" s="166"/>
    </row>
    <row r="8" spans="1:12" s="109" customFormat="1" x14ac:dyDescent="0.3">
      <c r="A8" s="8">
        <v>4.3</v>
      </c>
      <c r="B8" s="8" t="s">
        <v>583</v>
      </c>
      <c r="C8" s="8">
        <v>17</v>
      </c>
      <c r="D8" s="158" t="s">
        <v>586</v>
      </c>
      <c r="E8" s="8" t="s">
        <v>263</v>
      </c>
      <c r="F8" s="8">
        <v>1</v>
      </c>
      <c r="G8" s="159">
        <f t="shared" si="1"/>
        <v>1054500</v>
      </c>
      <c r="H8" s="160">
        <f t="shared" si="2"/>
        <v>1054500</v>
      </c>
      <c r="I8" s="167">
        <v>7400</v>
      </c>
      <c r="J8" s="167">
        <v>7400</v>
      </c>
      <c r="K8" s="165"/>
      <c r="L8" s="166"/>
    </row>
    <row r="9" spans="1:12" s="109" customFormat="1" x14ac:dyDescent="0.3">
      <c r="A9" s="8">
        <v>4.4000000000000004</v>
      </c>
      <c r="B9" s="8" t="s">
        <v>583</v>
      </c>
      <c r="C9" s="8">
        <v>18</v>
      </c>
      <c r="D9" s="158" t="s">
        <v>585</v>
      </c>
      <c r="E9" s="8" t="s">
        <v>263</v>
      </c>
      <c r="F9" s="8">
        <v>1</v>
      </c>
      <c r="G9" s="159">
        <f t="shared" si="1"/>
        <v>86925</v>
      </c>
      <c r="H9" s="160">
        <f t="shared" si="2"/>
        <v>86925</v>
      </c>
      <c r="I9" s="167">
        <v>610</v>
      </c>
      <c r="J9" s="167">
        <v>610</v>
      </c>
      <c r="K9" s="165"/>
      <c r="L9" s="166"/>
    </row>
    <row r="10" spans="1:12" s="109" customFormat="1" x14ac:dyDescent="0.3">
      <c r="A10" s="8">
        <v>4.5</v>
      </c>
      <c r="B10" s="8" t="s">
        <v>583</v>
      </c>
      <c r="C10" s="8">
        <v>19</v>
      </c>
      <c r="D10" s="158" t="s">
        <v>584</v>
      </c>
      <c r="E10" s="8" t="s">
        <v>263</v>
      </c>
      <c r="F10" s="8">
        <v>1</v>
      </c>
      <c r="G10" s="159">
        <f t="shared" si="1"/>
        <v>954750</v>
      </c>
      <c r="H10" s="160">
        <f t="shared" si="2"/>
        <v>954750</v>
      </c>
      <c r="I10" s="167">
        <v>6700</v>
      </c>
      <c r="J10" s="167">
        <v>6700</v>
      </c>
      <c r="K10" s="165"/>
      <c r="L10" s="166"/>
    </row>
    <row r="11" spans="1:12" s="109" customFormat="1" x14ac:dyDescent="0.3">
      <c r="A11" s="8">
        <v>5</v>
      </c>
      <c r="B11" s="168"/>
      <c r="C11" s="273" t="s">
        <v>154</v>
      </c>
      <c r="D11" s="273"/>
      <c r="E11" s="273"/>
      <c r="F11" s="273"/>
      <c r="G11" s="273"/>
      <c r="H11" s="160">
        <f>SUM(H2:H10)</f>
        <v>14004900</v>
      </c>
      <c r="I11" s="164"/>
      <c r="J11" s="167"/>
      <c r="K11" s="165"/>
      <c r="L11" s="166"/>
    </row>
    <row r="12" spans="1:12" x14ac:dyDescent="0.3">
      <c r="A12" s="8">
        <v>6</v>
      </c>
      <c r="B12" s="8"/>
      <c r="C12" s="273" t="s">
        <v>99</v>
      </c>
      <c r="D12" s="273"/>
      <c r="E12" s="273"/>
      <c r="F12" s="273"/>
      <c r="G12" s="273"/>
      <c r="H12" s="161">
        <f>H11*18%</f>
        <v>2520882</v>
      </c>
      <c r="I12" s="2"/>
      <c r="J12" s="2"/>
      <c r="K12" s="2"/>
    </row>
    <row r="13" spans="1:12" x14ac:dyDescent="0.3">
      <c r="A13" s="8">
        <v>7</v>
      </c>
      <c r="B13" s="8"/>
      <c r="C13" s="273" t="s">
        <v>9</v>
      </c>
      <c r="D13" s="273"/>
      <c r="E13" s="273"/>
      <c r="F13" s="273"/>
      <c r="G13" s="273"/>
      <c r="H13" s="161">
        <f>SUM(H11:H12)</f>
        <v>16525782</v>
      </c>
      <c r="I13" s="2"/>
      <c r="J13" s="2"/>
      <c r="K13" s="2"/>
    </row>
    <row r="14" spans="1:12" s="6" customFormat="1" x14ac:dyDescent="0.3">
      <c r="A14" s="274" t="s">
        <v>12</v>
      </c>
      <c r="B14" s="274"/>
      <c r="C14" s="274"/>
      <c r="D14" s="274"/>
      <c r="E14" s="274"/>
      <c r="F14" s="274"/>
      <c r="G14" s="274"/>
      <c r="H14" s="274"/>
      <c r="I14" s="16"/>
      <c r="J14" s="2"/>
    </row>
    <row r="15" spans="1:12" s="6" customFormat="1" ht="141" customHeight="1" x14ac:dyDescent="0.3">
      <c r="A15" s="162" t="s">
        <v>570</v>
      </c>
      <c r="B15" s="272" t="s">
        <v>571</v>
      </c>
      <c r="C15" s="272"/>
      <c r="D15" s="272"/>
      <c r="E15" s="272"/>
      <c r="F15" s="272"/>
      <c r="G15" s="272"/>
      <c r="H15" s="272"/>
      <c r="I15" s="12"/>
      <c r="J15" s="2"/>
    </row>
  </sheetData>
  <mergeCells count="6">
    <mergeCell ref="B15:H15"/>
    <mergeCell ref="B5:D5"/>
    <mergeCell ref="C11:G11"/>
    <mergeCell ref="C12:G12"/>
    <mergeCell ref="C13:G13"/>
    <mergeCell ref="A14:H14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A251B-4491-450B-B336-4C562F94F771}">
  <dimension ref="A1:N23"/>
  <sheetViews>
    <sheetView zoomScaleNormal="100" workbookViewId="0">
      <selection activeCell="H19" sqref="H19:H21"/>
    </sheetView>
  </sheetViews>
  <sheetFormatPr defaultColWidth="9.109375" defaultRowHeight="13.8" x14ac:dyDescent="0.3"/>
  <cols>
    <col min="1" max="1" width="6.109375" style="13" customWidth="1"/>
    <col min="2" max="2" width="14.5546875" style="13" bestFit="1" customWidth="1"/>
    <col min="3" max="3" width="16.88671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4.109375" style="112" customWidth="1"/>
    <col min="11" max="11" width="18" style="112" bestFit="1" customWidth="1"/>
    <col min="12" max="12" width="18.6640625" style="112" bestFit="1" customWidth="1"/>
    <col min="13" max="13" width="13.44140625" style="14" bestFit="1" customWidth="1"/>
    <col min="14" max="14" width="13.6640625" style="14" bestFit="1" customWidth="1"/>
    <col min="15" max="16384" width="9.109375" style="14"/>
  </cols>
  <sheetData>
    <row r="1" spans="1:14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80" t="s">
        <v>663</v>
      </c>
      <c r="L1" s="24" t="s">
        <v>153</v>
      </c>
    </row>
    <row r="2" spans="1:14" s="109" customFormat="1" x14ac:dyDescent="0.3">
      <c r="A2" s="8">
        <f t="shared" ref="A2:A21" si="0">ROW()-1</f>
        <v>1</v>
      </c>
      <c r="B2" s="8">
        <v>1200003346</v>
      </c>
      <c r="C2" s="8" t="s">
        <v>635</v>
      </c>
      <c r="D2" s="158" t="s">
        <v>636</v>
      </c>
      <c r="E2" s="8" t="s">
        <v>263</v>
      </c>
      <c r="F2" s="8">
        <v>2</v>
      </c>
      <c r="G2" s="159">
        <f>I2*95*1.35</f>
        <v>153900</v>
      </c>
      <c r="H2" s="160">
        <f t="shared" ref="H2:H14" si="1">G2*F2</f>
        <v>307800</v>
      </c>
      <c r="I2" s="167">
        <v>1200</v>
      </c>
      <c r="J2" s="167">
        <v>1200</v>
      </c>
      <c r="K2" s="167"/>
      <c r="L2" s="165">
        <v>574</v>
      </c>
      <c r="M2" s="166"/>
    </row>
    <row r="3" spans="1:14" s="109" customFormat="1" x14ac:dyDescent="0.3">
      <c r="A3" s="8">
        <f t="shared" si="0"/>
        <v>2</v>
      </c>
      <c r="B3" s="8">
        <v>1200003346</v>
      </c>
      <c r="C3" s="8" t="s">
        <v>637</v>
      </c>
      <c r="D3" s="158" t="s">
        <v>638</v>
      </c>
      <c r="E3" s="8" t="s">
        <v>263</v>
      </c>
      <c r="F3" s="8">
        <v>2</v>
      </c>
      <c r="G3" s="159">
        <f t="shared" ref="G3:G17" si="2">I3*95*1.35</f>
        <v>1282.5</v>
      </c>
      <c r="H3" s="160">
        <f t="shared" si="1"/>
        <v>2565</v>
      </c>
      <c r="I3" s="167">
        <v>10</v>
      </c>
      <c r="J3" s="167">
        <v>10</v>
      </c>
      <c r="K3" s="167"/>
      <c r="L3" s="165">
        <v>11</v>
      </c>
      <c r="M3" s="166"/>
    </row>
    <row r="4" spans="1:14" s="109" customFormat="1" x14ac:dyDescent="0.3">
      <c r="A4" s="8">
        <f t="shared" si="0"/>
        <v>3</v>
      </c>
      <c r="B4" s="8">
        <v>1200003346</v>
      </c>
      <c r="C4" s="8" t="s">
        <v>639</v>
      </c>
      <c r="D4" s="158" t="s">
        <v>640</v>
      </c>
      <c r="E4" s="8" t="s">
        <v>263</v>
      </c>
      <c r="F4" s="8">
        <v>2</v>
      </c>
      <c r="G4" s="159">
        <f t="shared" si="2"/>
        <v>23085</v>
      </c>
      <c r="H4" s="160">
        <f t="shared" si="1"/>
        <v>46170</v>
      </c>
      <c r="I4" s="167">
        <v>180</v>
      </c>
      <c r="J4" s="167">
        <v>180</v>
      </c>
      <c r="K4" s="167"/>
      <c r="L4" s="165">
        <v>125</v>
      </c>
      <c r="M4" s="166"/>
    </row>
    <row r="5" spans="1:14" s="109" customFormat="1" x14ac:dyDescent="0.3">
      <c r="A5" s="8">
        <f t="shared" si="0"/>
        <v>4</v>
      </c>
      <c r="B5" s="8">
        <v>1200003346</v>
      </c>
      <c r="C5" s="8" t="s">
        <v>641</v>
      </c>
      <c r="D5" s="158" t="s">
        <v>642</v>
      </c>
      <c r="E5" s="8" t="s">
        <v>263</v>
      </c>
      <c r="F5" s="8">
        <v>2</v>
      </c>
      <c r="G5" s="159">
        <f t="shared" si="2"/>
        <v>10901.25</v>
      </c>
      <c r="H5" s="160">
        <f t="shared" si="1"/>
        <v>21802.5</v>
      </c>
      <c r="I5" s="167">
        <v>85</v>
      </c>
      <c r="J5" s="167">
        <v>85</v>
      </c>
      <c r="K5" s="167"/>
      <c r="L5" s="165">
        <v>62</v>
      </c>
      <c r="M5" s="166"/>
    </row>
    <row r="6" spans="1:14" s="109" customFormat="1" x14ac:dyDescent="0.3">
      <c r="A6" s="8">
        <f t="shared" si="0"/>
        <v>5</v>
      </c>
      <c r="B6" s="8">
        <v>1200003346</v>
      </c>
      <c r="C6" s="8" t="s">
        <v>643</v>
      </c>
      <c r="D6" s="158" t="s">
        <v>642</v>
      </c>
      <c r="E6" s="8" t="s">
        <v>263</v>
      </c>
      <c r="F6" s="8">
        <v>2</v>
      </c>
      <c r="G6" s="159">
        <f t="shared" si="2"/>
        <v>12825</v>
      </c>
      <c r="H6" s="160">
        <f t="shared" si="1"/>
        <v>25650</v>
      </c>
      <c r="I6" s="167">
        <v>100</v>
      </c>
      <c r="J6" s="167">
        <v>100</v>
      </c>
      <c r="K6" s="167"/>
      <c r="L6" s="165">
        <v>52</v>
      </c>
      <c r="M6" s="166"/>
    </row>
    <row r="7" spans="1:14" s="109" customFormat="1" x14ac:dyDescent="0.3">
      <c r="A7" s="8">
        <f t="shared" si="0"/>
        <v>6</v>
      </c>
      <c r="B7" s="8">
        <v>1200003346</v>
      </c>
      <c r="C7" s="8" t="s">
        <v>644</v>
      </c>
      <c r="D7" s="158" t="s">
        <v>645</v>
      </c>
      <c r="E7" s="8" t="s">
        <v>263</v>
      </c>
      <c r="F7" s="8">
        <v>1</v>
      </c>
      <c r="G7" s="159">
        <f t="shared" si="2"/>
        <v>2565</v>
      </c>
      <c r="H7" s="160">
        <f t="shared" si="1"/>
        <v>2565</v>
      </c>
      <c r="I7" s="167">
        <v>20</v>
      </c>
      <c r="J7" s="167">
        <v>20</v>
      </c>
      <c r="K7" s="167"/>
      <c r="L7" s="165">
        <v>59</v>
      </c>
      <c r="M7" s="166"/>
    </row>
    <row r="8" spans="1:14" s="109" customFormat="1" x14ac:dyDescent="0.3">
      <c r="A8" s="8">
        <f t="shared" si="0"/>
        <v>7</v>
      </c>
      <c r="B8" s="8">
        <v>1200003346</v>
      </c>
      <c r="C8" s="8" t="s">
        <v>646</v>
      </c>
      <c r="D8" s="158" t="s">
        <v>645</v>
      </c>
      <c r="E8" s="8" t="s">
        <v>263</v>
      </c>
      <c r="F8" s="8">
        <v>1</v>
      </c>
      <c r="G8" s="159">
        <f t="shared" si="2"/>
        <v>2565</v>
      </c>
      <c r="H8" s="160">
        <f t="shared" si="1"/>
        <v>2565</v>
      </c>
      <c r="I8" s="167">
        <v>20</v>
      </c>
      <c r="J8" s="167">
        <v>20</v>
      </c>
      <c r="K8" s="167"/>
      <c r="L8" s="165">
        <v>52</v>
      </c>
      <c r="M8" s="166"/>
    </row>
    <row r="9" spans="1:14" s="109" customFormat="1" x14ac:dyDescent="0.3">
      <c r="A9" s="8">
        <f t="shared" si="0"/>
        <v>8</v>
      </c>
      <c r="B9" s="8">
        <v>1200003346</v>
      </c>
      <c r="C9" s="8" t="s">
        <v>647</v>
      </c>
      <c r="D9" s="158" t="s">
        <v>642</v>
      </c>
      <c r="E9" s="8" t="s">
        <v>263</v>
      </c>
      <c r="F9" s="8">
        <v>1</v>
      </c>
      <c r="G9" s="159">
        <f t="shared" si="2"/>
        <v>7695.0000000000009</v>
      </c>
      <c r="H9" s="160">
        <f t="shared" si="1"/>
        <v>7695.0000000000009</v>
      </c>
      <c r="I9" s="167">
        <v>60</v>
      </c>
      <c r="J9" s="167">
        <v>60</v>
      </c>
      <c r="K9" s="167"/>
      <c r="L9" s="165">
        <v>13</v>
      </c>
      <c r="M9" s="166"/>
    </row>
    <row r="10" spans="1:14" s="109" customFormat="1" x14ac:dyDescent="0.3">
      <c r="A10" s="8">
        <f t="shared" si="0"/>
        <v>9</v>
      </c>
      <c r="B10" s="8">
        <v>1200003346</v>
      </c>
      <c r="C10" s="8" t="s">
        <v>648</v>
      </c>
      <c r="D10" s="158" t="s">
        <v>649</v>
      </c>
      <c r="E10" s="8" t="s">
        <v>263</v>
      </c>
      <c r="F10" s="8">
        <v>2</v>
      </c>
      <c r="G10" s="159">
        <f t="shared" si="2"/>
        <v>16031.250000000002</v>
      </c>
      <c r="H10" s="160">
        <f t="shared" si="1"/>
        <v>32062.500000000004</v>
      </c>
      <c r="I10" s="167">
        <v>125</v>
      </c>
      <c r="J10" s="167">
        <v>125</v>
      </c>
      <c r="K10" s="167"/>
      <c r="L10" s="165">
        <v>47</v>
      </c>
      <c r="M10" s="166"/>
      <c r="N10" s="169"/>
    </row>
    <row r="11" spans="1:14" s="109" customFormat="1" x14ac:dyDescent="0.3">
      <c r="A11" s="8">
        <f t="shared" si="0"/>
        <v>10</v>
      </c>
      <c r="B11" s="8">
        <v>1200003346</v>
      </c>
      <c r="C11" s="8" t="s">
        <v>650</v>
      </c>
      <c r="D11" s="158" t="s">
        <v>651</v>
      </c>
      <c r="E11" s="8" t="s">
        <v>263</v>
      </c>
      <c r="F11" s="8">
        <v>2</v>
      </c>
      <c r="G11" s="159">
        <f t="shared" si="2"/>
        <v>1282.5</v>
      </c>
      <c r="H11" s="160">
        <f t="shared" si="1"/>
        <v>2565</v>
      </c>
      <c r="I11" s="167">
        <v>10</v>
      </c>
      <c r="J11" s="167">
        <v>10</v>
      </c>
      <c r="K11" s="167"/>
      <c r="L11" s="165">
        <v>8.5</v>
      </c>
      <c r="M11" s="166"/>
    </row>
    <row r="12" spans="1:14" s="109" customFormat="1" x14ac:dyDescent="0.3">
      <c r="A12" s="8">
        <f t="shared" si="0"/>
        <v>11</v>
      </c>
      <c r="B12" s="8">
        <v>1200003346</v>
      </c>
      <c r="C12" s="8" t="s">
        <v>652</v>
      </c>
      <c r="D12" s="158" t="s">
        <v>653</v>
      </c>
      <c r="E12" s="8" t="s">
        <v>263</v>
      </c>
      <c r="F12" s="8">
        <v>2</v>
      </c>
      <c r="G12" s="159">
        <f t="shared" si="2"/>
        <v>2565</v>
      </c>
      <c r="H12" s="160">
        <f t="shared" si="1"/>
        <v>5130</v>
      </c>
      <c r="I12" s="167">
        <v>20</v>
      </c>
      <c r="J12" s="167">
        <v>20</v>
      </c>
      <c r="K12" s="167"/>
      <c r="L12" s="165">
        <v>13</v>
      </c>
      <c r="M12" s="166"/>
    </row>
    <row r="13" spans="1:14" s="109" customFormat="1" x14ac:dyDescent="0.3">
      <c r="A13" s="8">
        <f t="shared" si="0"/>
        <v>12</v>
      </c>
      <c r="B13" s="8">
        <v>1200003346</v>
      </c>
      <c r="C13" s="8" t="s">
        <v>654</v>
      </c>
      <c r="D13" s="158" t="s">
        <v>651</v>
      </c>
      <c r="E13" s="8" t="s">
        <v>263</v>
      </c>
      <c r="F13" s="8">
        <v>2</v>
      </c>
      <c r="G13" s="159">
        <f t="shared" si="2"/>
        <v>4488.75</v>
      </c>
      <c r="H13" s="160">
        <f t="shared" si="1"/>
        <v>8977.5</v>
      </c>
      <c r="I13" s="167">
        <v>35</v>
      </c>
      <c r="J13" s="167">
        <v>35</v>
      </c>
      <c r="K13" s="167"/>
      <c r="L13" s="165">
        <v>20</v>
      </c>
      <c r="M13" s="165"/>
      <c r="N13" s="165"/>
    </row>
    <row r="14" spans="1:14" s="109" customFormat="1" x14ac:dyDescent="0.3">
      <c r="A14" s="8">
        <f t="shared" si="0"/>
        <v>13</v>
      </c>
      <c r="B14" s="8">
        <v>1200003346</v>
      </c>
      <c r="C14" s="8" t="s">
        <v>655</v>
      </c>
      <c r="D14" s="158" t="s">
        <v>656</v>
      </c>
      <c r="E14" s="8" t="s">
        <v>263</v>
      </c>
      <c r="F14" s="8">
        <v>2</v>
      </c>
      <c r="G14" s="159">
        <f t="shared" si="2"/>
        <v>339862.5</v>
      </c>
      <c r="H14" s="160">
        <f t="shared" si="1"/>
        <v>679725</v>
      </c>
      <c r="I14" s="167">
        <v>2650</v>
      </c>
      <c r="J14" s="167">
        <v>2650</v>
      </c>
      <c r="K14" s="167"/>
      <c r="L14" s="165">
        <v>2155</v>
      </c>
      <c r="M14" s="166"/>
    </row>
    <row r="15" spans="1:14" s="109" customFormat="1" x14ac:dyDescent="0.3">
      <c r="A15" s="8">
        <f t="shared" si="0"/>
        <v>14</v>
      </c>
      <c r="B15" s="8">
        <v>1200003346</v>
      </c>
      <c r="C15" s="8" t="s">
        <v>657</v>
      </c>
      <c r="D15" s="158" t="s">
        <v>658</v>
      </c>
      <c r="E15" s="8" t="s">
        <v>263</v>
      </c>
      <c r="F15" s="8">
        <v>2</v>
      </c>
      <c r="G15" s="159">
        <f t="shared" si="2"/>
        <v>3847.5000000000005</v>
      </c>
      <c r="H15" s="160">
        <f t="shared" ref="H15:H18" si="3">G15*F15</f>
        <v>7695.0000000000009</v>
      </c>
      <c r="I15" s="167">
        <v>30</v>
      </c>
      <c r="J15" s="167">
        <v>30</v>
      </c>
      <c r="K15" s="167"/>
      <c r="L15" s="165">
        <v>4.5</v>
      </c>
      <c r="M15" s="166"/>
    </row>
    <row r="16" spans="1:14" s="109" customFormat="1" x14ac:dyDescent="0.3">
      <c r="A16" s="8">
        <f t="shared" si="0"/>
        <v>15</v>
      </c>
      <c r="B16" s="8">
        <v>1200003346</v>
      </c>
      <c r="C16" s="8"/>
      <c r="D16" s="158" t="s">
        <v>659</v>
      </c>
      <c r="E16" s="8" t="s">
        <v>263</v>
      </c>
      <c r="F16" s="8">
        <v>8</v>
      </c>
      <c r="G16" s="159">
        <f>I16*95*1.5</f>
        <v>1140</v>
      </c>
      <c r="H16" s="160">
        <f t="shared" si="3"/>
        <v>9120</v>
      </c>
      <c r="I16" s="167">
        <v>8</v>
      </c>
      <c r="J16" s="167">
        <v>0</v>
      </c>
      <c r="K16" s="167" t="s">
        <v>664</v>
      </c>
      <c r="L16" s="165">
        <v>8</v>
      </c>
      <c r="M16" s="166"/>
    </row>
    <row r="17" spans="1:13" s="109" customFormat="1" x14ac:dyDescent="0.3">
      <c r="A17" s="8">
        <f t="shared" si="0"/>
        <v>16</v>
      </c>
      <c r="B17" s="8">
        <v>1200003346</v>
      </c>
      <c r="C17" s="8" t="s">
        <v>660</v>
      </c>
      <c r="D17" s="158" t="s">
        <v>661</v>
      </c>
      <c r="E17" s="8" t="s">
        <v>263</v>
      </c>
      <c r="F17" s="8">
        <v>2</v>
      </c>
      <c r="G17" s="159">
        <f t="shared" si="2"/>
        <v>1923.7500000000002</v>
      </c>
      <c r="H17" s="160">
        <f t="shared" si="3"/>
        <v>3847.5000000000005</v>
      </c>
      <c r="I17" s="167">
        <v>15</v>
      </c>
      <c r="J17" s="167">
        <v>15</v>
      </c>
      <c r="K17" s="167" t="s">
        <v>664</v>
      </c>
      <c r="L17" s="165">
        <v>24</v>
      </c>
      <c r="M17" s="166"/>
    </row>
    <row r="18" spans="1:13" s="109" customFormat="1" x14ac:dyDescent="0.3">
      <c r="A18" s="8">
        <f t="shared" si="0"/>
        <v>17</v>
      </c>
      <c r="B18" s="8">
        <v>1200003346</v>
      </c>
      <c r="C18" s="8"/>
      <c r="D18" s="158" t="s">
        <v>662</v>
      </c>
      <c r="E18" s="8" t="s">
        <v>263</v>
      </c>
      <c r="F18" s="8">
        <v>1</v>
      </c>
      <c r="G18" s="159">
        <f>I18*95*1.5</f>
        <v>1140</v>
      </c>
      <c r="H18" s="160">
        <f t="shared" si="3"/>
        <v>1140</v>
      </c>
      <c r="I18" s="167">
        <v>8</v>
      </c>
      <c r="J18" s="167">
        <v>0</v>
      </c>
      <c r="K18" s="167"/>
      <c r="L18" s="165">
        <v>8</v>
      </c>
      <c r="M18" s="166"/>
    </row>
    <row r="19" spans="1:13" s="109" customFormat="1" x14ac:dyDescent="0.3">
      <c r="A19" s="8">
        <f t="shared" si="0"/>
        <v>18</v>
      </c>
      <c r="B19" s="168"/>
      <c r="C19" s="273" t="s">
        <v>154</v>
      </c>
      <c r="D19" s="273"/>
      <c r="E19" s="273"/>
      <c r="F19" s="273"/>
      <c r="G19" s="273"/>
      <c r="H19" s="160">
        <f>SUM(H2:H18)</f>
        <v>1167075</v>
      </c>
      <c r="I19" s="164"/>
      <c r="J19" s="167"/>
      <c r="K19" s="167"/>
      <c r="L19" s="165"/>
      <c r="M19" s="166"/>
    </row>
    <row r="20" spans="1:13" x14ac:dyDescent="0.3">
      <c r="A20" s="8">
        <f t="shared" si="0"/>
        <v>19</v>
      </c>
      <c r="B20" s="8"/>
      <c r="C20" s="273" t="s">
        <v>99</v>
      </c>
      <c r="D20" s="273"/>
      <c r="E20" s="273"/>
      <c r="F20" s="273"/>
      <c r="G20" s="273"/>
      <c r="H20" s="161">
        <f>H19*18%</f>
        <v>210073.5</v>
      </c>
      <c r="I20" s="2"/>
      <c r="J20" s="2"/>
      <c r="K20" s="2"/>
      <c r="L20" s="2"/>
    </row>
    <row r="21" spans="1:13" x14ac:dyDescent="0.3">
      <c r="A21" s="8">
        <f t="shared" si="0"/>
        <v>20</v>
      </c>
      <c r="B21" s="8"/>
      <c r="C21" s="273" t="s">
        <v>9</v>
      </c>
      <c r="D21" s="273"/>
      <c r="E21" s="273"/>
      <c r="F21" s="273"/>
      <c r="G21" s="273"/>
      <c r="H21" s="161">
        <f>SUM(H19:H20)</f>
        <v>1377148.5</v>
      </c>
      <c r="I21" s="2"/>
      <c r="J21" s="2"/>
      <c r="K21" s="2"/>
      <c r="L21" s="2"/>
    </row>
    <row r="22" spans="1:13" s="6" customFormat="1" x14ac:dyDescent="0.3">
      <c r="A22" s="274" t="s">
        <v>12</v>
      </c>
      <c r="B22" s="274"/>
      <c r="C22" s="274"/>
      <c r="D22" s="274"/>
      <c r="E22" s="274"/>
      <c r="F22" s="274"/>
      <c r="G22" s="274"/>
      <c r="H22" s="274"/>
      <c r="I22" s="16"/>
      <c r="J22" s="2"/>
      <c r="K22" s="2"/>
    </row>
    <row r="23" spans="1:13" s="6" customFormat="1" ht="141" customHeight="1" x14ac:dyDescent="0.3">
      <c r="A23" s="162" t="s">
        <v>570</v>
      </c>
      <c r="B23" s="272" t="s">
        <v>571</v>
      </c>
      <c r="C23" s="272"/>
      <c r="D23" s="272"/>
      <c r="E23" s="272"/>
      <c r="F23" s="272"/>
      <c r="G23" s="272"/>
      <c r="H23" s="272"/>
      <c r="I23" s="12"/>
      <c r="J23" s="2"/>
      <c r="K23" s="2"/>
    </row>
  </sheetData>
  <mergeCells count="5">
    <mergeCell ref="C19:G19"/>
    <mergeCell ref="C20:G20"/>
    <mergeCell ref="C21:G21"/>
    <mergeCell ref="A22:H22"/>
    <mergeCell ref="B23:H23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C97C-3875-4A57-B840-E8737C485A49}">
  <dimension ref="A1:L17"/>
  <sheetViews>
    <sheetView zoomScaleNormal="100" workbookViewId="0"/>
  </sheetViews>
  <sheetFormatPr defaultColWidth="9.109375" defaultRowHeight="13.8" x14ac:dyDescent="0.3"/>
  <cols>
    <col min="1" max="1" width="6.109375" style="13" customWidth="1"/>
    <col min="2" max="2" width="11" style="13" bestFit="1" customWidth="1"/>
    <col min="3" max="3" width="11.6640625" style="6" bestFit="1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0.5546875" style="14" bestFit="1" customWidth="1"/>
    <col min="13" max="16384" width="9.109375" style="14"/>
  </cols>
  <sheetData>
    <row r="1" spans="1:12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/>
    </row>
    <row r="2" spans="1:12" s="109" customFormat="1" ht="27.6" x14ac:dyDescent="0.3">
      <c r="A2" s="8">
        <f t="shared" ref="A2:A15" si="0">ROW()-1</f>
        <v>1</v>
      </c>
      <c r="B2" s="8">
        <v>1200003691</v>
      </c>
      <c r="C2" s="8">
        <v>4000006783</v>
      </c>
      <c r="D2" s="158" t="s">
        <v>624</v>
      </c>
      <c r="E2" s="8" t="s">
        <v>346</v>
      </c>
      <c r="F2" s="8">
        <v>4</v>
      </c>
      <c r="G2" s="159">
        <f t="shared" ref="G2:G12" si="1">I2*95*1.5</f>
        <v>75525</v>
      </c>
      <c r="H2" s="160">
        <f t="shared" ref="H2:H12" si="2">G2*F2</f>
        <v>302100</v>
      </c>
      <c r="I2" s="167">
        <v>530</v>
      </c>
      <c r="J2" s="167">
        <v>530</v>
      </c>
      <c r="K2" s="165"/>
      <c r="L2" s="166"/>
    </row>
    <row r="3" spans="1:12" s="109" customFormat="1" ht="27.6" x14ac:dyDescent="0.3">
      <c r="A3" s="8">
        <f t="shared" si="0"/>
        <v>2</v>
      </c>
      <c r="B3" s="8">
        <v>1200003691</v>
      </c>
      <c r="C3" s="8">
        <v>4000006713</v>
      </c>
      <c r="D3" s="158" t="s">
        <v>625</v>
      </c>
      <c r="E3" s="8" t="s">
        <v>346</v>
      </c>
      <c r="F3" s="8">
        <v>3</v>
      </c>
      <c r="G3" s="159">
        <f t="shared" si="1"/>
        <v>2137.5</v>
      </c>
      <c r="H3" s="160">
        <f t="shared" si="2"/>
        <v>6412.5</v>
      </c>
      <c r="I3" s="167">
        <v>15</v>
      </c>
      <c r="J3" s="167">
        <v>15</v>
      </c>
      <c r="K3" s="165"/>
      <c r="L3" s="166"/>
    </row>
    <row r="4" spans="1:12" s="109" customFormat="1" ht="27.6" x14ac:dyDescent="0.3">
      <c r="A4" s="8">
        <f t="shared" si="0"/>
        <v>3</v>
      </c>
      <c r="B4" s="8">
        <v>1200003691</v>
      </c>
      <c r="C4" s="8">
        <v>4000006189</v>
      </c>
      <c r="D4" s="158" t="s">
        <v>626</v>
      </c>
      <c r="E4" s="8" t="s">
        <v>346</v>
      </c>
      <c r="F4" s="8">
        <v>3</v>
      </c>
      <c r="G4" s="159">
        <f t="shared" si="1"/>
        <v>44175</v>
      </c>
      <c r="H4" s="160">
        <f t="shared" si="2"/>
        <v>132525</v>
      </c>
      <c r="I4" s="167">
        <v>310</v>
      </c>
      <c r="J4" s="167">
        <v>310</v>
      </c>
      <c r="K4" s="165"/>
      <c r="L4" s="166"/>
    </row>
    <row r="5" spans="1:12" s="109" customFormat="1" ht="27.6" x14ac:dyDescent="0.3">
      <c r="A5" s="8">
        <f t="shared" si="0"/>
        <v>4</v>
      </c>
      <c r="B5" s="8">
        <v>1200003691</v>
      </c>
      <c r="C5" s="8">
        <v>4000006712</v>
      </c>
      <c r="D5" s="158" t="s">
        <v>627</v>
      </c>
      <c r="E5" s="8" t="s">
        <v>346</v>
      </c>
      <c r="F5" s="8">
        <v>6</v>
      </c>
      <c r="G5" s="159">
        <f t="shared" si="1"/>
        <v>1425</v>
      </c>
      <c r="H5" s="160">
        <f t="shared" si="2"/>
        <v>8550</v>
      </c>
      <c r="I5" s="167">
        <v>10</v>
      </c>
      <c r="J5" s="167">
        <v>10</v>
      </c>
      <c r="K5" s="165"/>
      <c r="L5" s="166"/>
    </row>
    <row r="6" spans="1:12" s="109" customFormat="1" x14ac:dyDescent="0.3">
      <c r="A6" s="8">
        <f t="shared" si="0"/>
        <v>5</v>
      </c>
      <c r="B6" s="8">
        <v>1200003691</v>
      </c>
      <c r="C6" s="8">
        <v>4000006714</v>
      </c>
      <c r="D6" s="158" t="s">
        <v>628</v>
      </c>
      <c r="E6" s="8" t="s">
        <v>346</v>
      </c>
      <c r="F6" s="8">
        <v>2</v>
      </c>
      <c r="G6" s="159">
        <f t="shared" si="1"/>
        <v>5415</v>
      </c>
      <c r="H6" s="160">
        <f t="shared" si="2"/>
        <v>10830</v>
      </c>
      <c r="I6" s="167">
        <v>38</v>
      </c>
      <c r="J6" s="167">
        <v>38</v>
      </c>
      <c r="K6" s="165"/>
      <c r="L6" s="166"/>
    </row>
    <row r="7" spans="1:12" s="109" customFormat="1" ht="27.6" x14ac:dyDescent="0.3">
      <c r="A7" s="8">
        <f t="shared" si="0"/>
        <v>6</v>
      </c>
      <c r="B7" s="8">
        <v>1200003691</v>
      </c>
      <c r="C7" s="8">
        <v>4000001909</v>
      </c>
      <c r="D7" s="158" t="s">
        <v>629</v>
      </c>
      <c r="E7" s="8" t="s">
        <v>346</v>
      </c>
      <c r="F7" s="8">
        <v>5</v>
      </c>
      <c r="G7" s="159">
        <f t="shared" si="1"/>
        <v>91912.5</v>
      </c>
      <c r="H7" s="160">
        <f t="shared" si="2"/>
        <v>459562.5</v>
      </c>
      <c r="I7" s="167">
        <v>645</v>
      </c>
      <c r="J7" s="167">
        <v>645</v>
      </c>
      <c r="K7" s="165"/>
      <c r="L7" s="166"/>
    </row>
    <row r="8" spans="1:12" s="109" customFormat="1" ht="27.6" x14ac:dyDescent="0.3">
      <c r="A8" s="8">
        <f t="shared" si="0"/>
        <v>7</v>
      </c>
      <c r="B8" s="8">
        <v>1200003691</v>
      </c>
      <c r="C8" s="8">
        <v>4000018815</v>
      </c>
      <c r="D8" s="158" t="s">
        <v>630</v>
      </c>
      <c r="E8" s="8" t="s">
        <v>346</v>
      </c>
      <c r="F8" s="8">
        <v>3</v>
      </c>
      <c r="G8" s="159">
        <f t="shared" si="1"/>
        <v>609900</v>
      </c>
      <c r="H8" s="160">
        <f t="shared" si="2"/>
        <v>1829700</v>
      </c>
      <c r="I8" s="167">
        <v>4280</v>
      </c>
      <c r="J8" s="167">
        <v>4280</v>
      </c>
      <c r="K8" s="165"/>
      <c r="L8" s="166"/>
    </row>
    <row r="9" spans="1:12" s="109" customFormat="1" ht="27.6" x14ac:dyDescent="0.3">
      <c r="A9" s="8">
        <f t="shared" si="0"/>
        <v>8</v>
      </c>
      <c r="B9" s="8">
        <v>1200003691</v>
      </c>
      <c r="C9" s="8">
        <v>4000001910</v>
      </c>
      <c r="D9" s="158" t="s">
        <v>631</v>
      </c>
      <c r="E9" s="8" t="s">
        <v>346</v>
      </c>
      <c r="F9" s="8">
        <v>5</v>
      </c>
      <c r="G9" s="159">
        <f t="shared" si="1"/>
        <v>75525</v>
      </c>
      <c r="H9" s="160">
        <f t="shared" si="2"/>
        <v>377625</v>
      </c>
      <c r="I9" s="167">
        <v>530</v>
      </c>
      <c r="J9" s="167">
        <v>530</v>
      </c>
      <c r="K9" s="165"/>
      <c r="L9" s="166"/>
    </row>
    <row r="10" spans="1:12" s="109" customFormat="1" ht="27.6" x14ac:dyDescent="0.3">
      <c r="A10" s="8">
        <f t="shared" si="0"/>
        <v>9</v>
      </c>
      <c r="B10" s="8">
        <v>1200003691</v>
      </c>
      <c r="C10" s="8">
        <v>4000001911</v>
      </c>
      <c r="D10" s="158" t="s">
        <v>632</v>
      </c>
      <c r="E10" s="8" t="s">
        <v>346</v>
      </c>
      <c r="F10" s="8">
        <v>5</v>
      </c>
      <c r="G10" s="159">
        <f t="shared" si="1"/>
        <v>29925</v>
      </c>
      <c r="H10" s="160">
        <f t="shared" si="2"/>
        <v>149625</v>
      </c>
      <c r="I10" s="167">
        <v>210</v>
      </c>
      <c r="J10" s="167">
        <v>210</v>
      </c>
      <c r="K10" s="165"/>
      <c r="L10" s="166"/>
    </row>
    <row r="11" spans="1:12" s="109" customFormat="1" ht="27.6" x14ac:dyDescent="0.3">
      <c r="A11" s="8">
        <f t="shared" si="0"/>
        <v>10</v>
      </c>
      <c r="B11" s="8">
        <v>1200003691</v>
      </c>
      <c r="C11" s="8">
        <v>4000006715</v>
      </c>
      <c r="D11" s="158" t="s">
        <v>633</v>
      </c>
      <c r="E11" s="8" t="s">
        <v>346</v>
      </c>
      <c r="F11" s="8">
        <v>16</v>
      </c>
      <c r="G11" s="159">
        <f t="shared" si="1"/>
        <v>1425</v>
      </c>
      <c r="H11" s="160">
        <f t="shared" si="2"/>
        <v>22800</v>
      </c>
      <c r="I11" s="167">
        <v>10</v>
      </c>
      <c r="J11" s="167">
        <v>10</v>
      </c>
      <c r="K11" s="165"/>
      <c r="L11" s="166"/>
    </row>
    <row r="12" spans="1:12" s="109" customFormat="1" ht="27.6" x14ac:dyDescent="0.3">
      <c r="A12" s="8">
        <f t="shared" si="0"/>
        <v>11</v>
      </c>
      <c r="B12" s="8">
        <v>1200003691</v>
      </c>
      <c r="C12" s="8">
        <v>4000006716</v>
      </c>
      <c r="D12" s="158" t="s">
        <v>634</v>
      </c>
      <c r="E12" s="8" t="s">
        <v>346</v>
      </c>
      <c r="F12" s="8">
        <v>20</v>
      </c>
      <c r="G12" s="159">
        <f t="shared" si="1"/>
        <v>712.5</v>
      </c>
      <c r="H12" s="160">
        <f t="shared" si="2"/>
        <v>14250</v>
      </c>
      <c r="I12" s="167">
        <v>5</v>
      </c>
      <c r="J12" s="167">
        <v>5</v>
      </c>
      <c r="K12" s="165"/>
      <c r="L12" s="166"/>
    </row>
    <row r="13" spans="1:12" s="109" customFormat="1" x14ac:dyDescent="0.3">
      <c r="A13" s="8">
        <f t="shared" si="0"/>
        <v>12</v>
      </c>
      <c r="B13" s="168"/>
      <c r="C13" s="273" t="s">
        <v>154</v>
      </c>
      <c r="D13" s="273"/>
      <c r="E13" s="273"/>
      <c r="F13" s="273"/>
      <c r="G13" s="273"/>
      <c r="H13" s="160">
        <f>SUM(H2:H12)</f>
        <v>3313980</v>
      </c>
      <c r="I13" s="164"/>
      <c r="J13" s="167"/>
      <c r="K13" s="165"/>
      <c r="L13" s="166"/>
    </row>
    <row r="14" spans="1:12" x14ac:dyDescent="0.3">
      <c r="A14" s="8">
        <f t="shared" si="0"/>
        <v>13</v>
      </c>
      <c r="B14" s="8"/>
      <c r="C14" s="273" t="s">
        <v>99</v>
      </c>
      <c r="D14" s="273"/>
      <c r="E14" s="273"/>
      <c r="F14" s="273"/>
      <c r="G14" s="273"/>
      <c r="H14" s="161">
        <f>H13*18%</f>
        <v>596516.4</v>
      </c>
      <c r="I14" s="2"/>
      <c r="J14" s="2"/>
      <c r="K14" s="2"/>
    </row>
    <row r="15" spans="1:12" x14ac:dyDescent="0.3">
      <c r="A15" s="8">
        <f t="shared" si="0"/>
        <v>14</v>
      </c>
      <c r="B15" s="8"/>
      <c r="C15" s="273" t="s">
        <v>9</v>
      </c>
      <c r="D15" s="273"/>
      <c r="E15" s="273"/>
      <c r="F15" s="273"/>
      <c r="G15" s="273"/>
      <c r="H15" s="161">
        <f>SUM(H13:H14)</f>
        <v>3910496.4</v>
      </c>
      <c r="I15" s="2"/>
      <c r="J15" s="2"/>
      <c r="K15" s="2"/>
    </row>
    <row r="16" spans="1:12" s="6" customFormat="1" x14ac:dyDescent="0.3">
      <c r="A16" s="274" t="s">
        <v>12</v>
      </c>
      <c r="B16" s="274"/>
      <c r="C16" s="274"/>
      <c r="D16" s="274"/>
      <c r="E16" s="274"/>
      <c r="F16" s="274"/>
      <c r="G16" s="274"/>
      <c r="H16" s="274"/>
      <c r="I16" s="16"/>
      <c r="J16" s="2"/>
    </row>
    <row r="17" spans="1:10" s="6" customFormat="1" ht="141" customHeight="1" x14ac:dyDescent="0.3">
      <c r="A17" s="162" t="s">
        <v>570</v>
      </c>
      <c r="B17" s="272" t="s">
        <v>571</v>
      </c>
      <c r="C17" s="272"/>
      <c r="D17" s="272"/>
      <c r="E17" s="272"/>
      <c r="F17" s="272"/>
      <c r="G17" s="272"/>
      <c r="H17" s="272"/>
      <c r="I17" s="12"/>
      <c r="J17" s="2"/>
    </row>
  </sheetData>
  <mergeCells count="5">
    <mergeCell ref="C13:G13"/>
    <mergeCell ref="C14:G14"/>
    <mergeCell ref="C15:G15"/>
    <mergeCell ref="A16:H16"/>
    <mergeCell ref="B17:H17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83F44-6BC3-428A-BB63-2B828075FFFF}">
  <dimension ref="A1:L32"/>
  <sheetViews>
    <sheetView zoomScaleNormal="100" workbookViewId="0"/>
  </sheetViews>
  <sheetFormatPr defaultColWidth="9.109375" defaultRowHeight="13.8" x14ac:dyDescent="0.3"/>
  <cols>
    <col min="1" max="1" width="6.109375" style="13" customWidth="1"/>
    <col min="2" max="2" width="14.5546875" style="13" bestFit="1" customWidth="1"/>
    <col min="3" max="3" width="16.88671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0.5546875" style="14" bestFit="1" customWidth="1"/>
    <col min="13" max="16384" width="9.109375" style="14"/>
  </cols>
  <sheetData>
    <row r="1" spans="1:12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/>
    </row>
    <row r="2" spans="1:12" s="109" customFormat="1" ht="27.6" x14ac:dyDescent="0.3">
      <c r="A2" s="8">
        <f>ROW()-1</f>
        <v>1</v>
      </c>
      <c r="B2" s="8">
        <v>1200003692</v>
      </c>
      <c r="C2" s="8">
        <v>4000006106</v>
      </c>
      <c r="D2" s="158" t="s">
        <v>588</v>
      </c>
      <c r="E2" s="8" t="s">
        <v>346</v>
      </c>
      <c r="F2" s="8">
        <v>1</v>
      </c>
      <c r="G2" s="159">
        <f>I2*95*1.5</f>
        <v>75525</v>
      </c>
      <c r="H2" s="160">
        <f>G2*F2</f>
        <v>75525</v>
      </c>
      <c r="I2" s="167">
        <v>530</v>
      </c>
      <c r="J2" s="167">
        <v>530</v>
      </c>
      <c r="K2" s="165"/>
      <c r="L2" s="166"/>
    </row>
    <row r="3" spans="1:12" s="109" customFormat="1" ht="27.6" x14ac:dyDescent="0.3">
      <c r="A3" s="8">
        <f t="shared" ref="A3:A27" si="0">ROW()-1</f>
        <v>2</v>
      </c>
      <c r="B3" s="8">
        <v>1200003692</v>
      </c>
      <c r="C3" s="8">
        <v>4000006107</v>
      </c>
      <c r="D3" s="158" t="s">
        <v>589</v>
      </c>
      <c r="E3" s="8" t="s">
        <v>346</v>
      </c>
      <c r="F3" s="8">
        <v>2</v>
      </c>
      <c r="G3" s="159">
        <f t="shared" ref="G3:G24" si="1">I3*95*1.5</f>
        <v>1140</v>
      </c>
      <c r="H3" s="160">
        <f t="shared" ref="H3:H24" si="2">G3*F3</f>
        <v>2280</v>
      </c>
      <c r="I3" s="167">
        <v>8</v>
      </c>
      <c r="J3" s="167">
        <v>8</v>
      </c>
      <c r="K3" s="165"/>
      <c r="L3" s="166"/>
    </row>
    <row r="4" spans="1:12" s="109" customFormat="1" ht="27.6" x14ac:dyDescent="0.3">
      <c r="A4" s="8">
        <f t="shared" si="0"/>
        <v>3</v>
      </c>
      <c r="B4" s="8">
        <v>1200003692</v>
      </c>
      <c r="C4" s="8">
        <v>4000006108</v>
      </c>
      <c r="D4" s="158" t="s">
        <v>590</v>
      </c>
      <c r="E4" s="8" t="s">
        <v>346</v>
      </c>
      <c r="F4" s="8">
        <v>2</v>
      </c>
      <c r="G4" s="159">
        <f t="shared" si="1"/>
        <v>104737.5</v>
      </c>
      <c r="H4" s="160">
        <f t="shared" si="2"/>
        <v>209475</v>
      </c>
      <c r="I4" s="167">
        <v>735</v>
      </c>
      <c r="J4" s="167">
        <v>735</v>
      </c>
      <c r="K4" s="165"/>
      <c r="L4" s="166"/>
    </row>
    <row r="5" spans="1:12" s="109" customFormat="1" ht="27.6" x14ac:dyDescent="0.3">
      <c r="A5" s="8">
        <f t="shared" si="0"/>
        <v>4</v>
      </c>
      <c r="B5" s="8">
        <v>1200003692</v>
      </c>
      <c r="C5" s="8">
        <v>4000006188</v>
      </c>
      <c r="D5" s="123" t="s">
        <v>591</v>
      </c>
      <c r="E5" s="8" t="s">
        <v>346</v>
      </c>
      <c r="F5" s="8">
        <v>1</v>
      </c>
      <c r="G5" s="159">
        <f t="shared" si="1"/>
        <v>94050</v>
      </c>
      <c r="H5" s="160">
        <f t="shared" si="2"/>
        <v>94050</v>
      </c>
      <c r="I5" s="167">
        <v>660</v>
      </c>
      <c r="J5" s="167">
        <v>660</v>
      </c>
      <c r="K5" s="165"/>
      <c r="L5" s="166"/>
    </row>
    <row r="6" spans="1:12" s="109" customFormat="1" ht="27.6" x14ac:dyDescent="0.3">
      <c r="A6" s="8">
        <f t="shared" si="0"/>
        <v>5</v>
      </c>
      <c r="B6" s="8">
        <v>1200003692</v>
      </c>
      <c r="C6" s="8">
        <v>4000018816</v>
      </c>
      <c r="D6" s="158" t="s">
        <v>592</v>
      </c>
      <c r="E6" s="8" t="s">
        <v>346</v>
      </c>
      <c r="F6" s="8">
        <v>1</v>
      </c>
      <c r="G6" s="159">
        <f t="shared" si="1"/>
        <v>31350</v>
      </c>
      <c r="H6" s="160">
        <f t="shared" si="2"/>
        <v>31350</v>
      </c>
      <c r="I6" s="167">
        <v>220</v>
      </c>
      <c r="J6" s="167">
        <v>220</v>
      </c>
      <c r="K6" s="165"/>
      <c r="L6" s="166"/>
    </row>
    <row r="7" spans="1:12" s="109" customFormat="1" ht="27.6" x14ac:dyDescent="0.3">
      <c r="A7" s="8">
        <f t="shared" si="0"/>
        <v>6</v>
      </c>
      <c r="B7" s="8">
        <v>1200003692</v>
      </c>
      <c r="C7" s="8">
        <v>4000006110</v>
      </c>
      <c r="D7" s="158" t="s">
        <v>593</v>
      </c>
      <c r="E7" s="8" t="s">
        <v>346</v>
      </c>
      <c r="F7" s="8">
        <v>8</v>
      </c>
      <c r="G7" s="159">
        <f t="shared" si="1"/>
        <v>1140</v>
      </c>
      <c r="H7" s="160">
        <f t="shared" si="2"/>
        <v>9120</v>
      </c>
      <c r="I7" s="167">
        <v>8</v>
      </c>
      <c r="J7" s="167">
        <v>8</v>
      </c>
      <c r="K7" s="165"/>
      <c r="L7" s="166"/>
    </row>
    <row r="8" spans="1:12" s="109" customFormat="1" ht="27.6" x14ac:dyDescent="0.3">
      <c r="A8" s="8">
        <f t="shared" si="0"/>
        <v>7</v>
      </c>
      <c r="B8" s="8">
        <v>1200003692</v>
      </c>
      <c r="C8" s="8">
        <v>4000018817</v>
      </c>
      <c r="D8" s="158" t="s">
        <v>594</v>
      </c>
      <c r="E8" s="8" t="s">
        <v>346</v>
      </c>
      <c r="F8" s="8">
        <v>2</v>
      </c>
      <c r="G8" s="159">
        <f t="shared" si="1"/>
        <v>31350</v>
      </c>
      <c r="H8" s="160">
        <f t="shared" si="2"/>
        <v>62700</v>
      </c>
      <c r="I8" s="167">
        <v>220</v>
      </c>
      <c r="J8" s="167">
        <v>220</v>
      </c>
      <c r="K8" s="165"/>
      <c r="L8" s="166"/>
    </row>
    <row r="9" spans="1:12" s="109" customFormat="1" ht="27.6" x14ac:dyDescent="0.3">
      <c r="A9" s="8">
        <f t="shared" si="0"/>
        <v>8</v>
      </c>
      <c r="B9" s="8">
        <v>1200003692</v>
      </c>
      <c r="C9" s="8">
        <v>4000001728</v>
      </c>
      <c r="D9" s="158" t="s">
        <v>595</v>
      </c>
      <c r="E9" s="8" t="s">
        <v>346</v>
      </c>
      <c r="F9" s="8">
        <v>2</v>
      </c>
      <c r="G9" s="159">
        <f t="shared" si="1"/>
        <v>498750</v>
      </c>
      <c r="H9" s="160">
        <f t="shared" si="2"/>
        <v>997500</v>
      </c>
      <c r="I9" s="167">
        <v>3500</v>
      </c>
      <c r="J9" s="167">
        <v>3500</v>
      </c>
      <c r="K9" s="165"/>
      <c r="L9" s="166"/>
    </row>
    <row r="10" spans="1:12" s="109" customFormat="1" ht="27.6" x14ac:dyDescent="0.3">
      <c r="A10" s="8">
        <f t="shared" si="0"/>
        <v>9</v>
      </c>
      <c r="B10" s="8">
        <v>1200003692</v>
      </c>
      <c r="C10" s="8">
        <v>4000006111</v>
      </c>
      <c r="D10" s="158" t="s">
        <v>596</v>
      </c>
      <c r="E10" s="8" t="s">
        <v>346</v>
      </c>
      <c r="F10" s="8">
        <v>2</v>
      </c>
      <c r="G10" s="159">
        <f t="shared" si="1"/>
        <v>14962.5</v>
      </c>
      <c r="H10" s="160">
        <f t="shared" si="2"/>
        <v>29925</v>
      </c>
      <c r="I10" s="167">
        <v>105</v>
      </c>
      <c r="J10" s="167">
        <v>105</v>
      </c>
      <c r="K10" s="165"/>
      <c r="L10" s="166"/>
    </row>
    <row r="11" spans="1:12" s="109" customFormat="1" ht="27.6" x14ac:dyDescent="0.3">
      <c r="A11" s="8">
        <f t="shared" si="0"/>
        <v>10</v>
      </c>
      <c r="B11" s="8">
        <v>1200003692</v>
      </c>
      <c r="C11" s="8">
        <v>4000000949</v>
      </c>
      <c r="D11" s="158" t="s">
        <v>597</v>
      </c>
      <c r="E11" s="8" t="s">
        <v>346</v>
      </c>
      <c r="F11" s="8">
        <v>1</v>
      </c>
      <c r="G11" s="159">
        <f t="shared" si="1"/>
        <v>166725</v>
      </c>
      <c r="H11" s="160">
        <f t="shared" si="2"/>
        <v>166725</v>
      </c>
      <c r="I11" s="167">
        <v>1170</v>
      </c>
      <c r="J11" s="167">
        <v>1170</v>
      </c>
      <c r="K11" s="165"/>
      <c r="L11" s="166"/>
    </row>
    <row r="12" spans="1:12" s="109" customFormat="1" ht="27.6" x14ac:dyDescent="0.3">
      <c r="A12" s="8">
        <f t="shared" si="0"/>
        <v>11</v>
      </c>
      <c r="B12" s="8">
        <v>1200003692</v>
      </c>
      <c r="C12" s="8">
        <v>4000018818</v>
      </c>
      <c r="D12" s="158" t="s">
        <v>598</v>
      </c>
      <c r="E12" s="8" t="s">
        <v>346</v>
      </c>
      <c r="F12" s="8">
        <v>1</v>
      </c>
      <c r="G12" s="159">
        <f t="shared" si="1"/>
        <v>4275</v>
      </c>
      <c r="H12" s="160">
        <f t="shared" si="2"/>
        <v>4275</v>
      </c>
      <c r="I12" s="167">
        <v>30</v>
      </c>
      <c r="J12" s="167">
        <v>30</v>
      </c>
      <c r="K12" s="165"/>
      <c r="L12" s="166"/>
    </row>
    <row r="13" spans="1:12" s="109" customFormat="1" ht="27.6" x14ac:dyDescent="0.3">
      <c r="A13" s="8">
        <f t="shared" si="0"/>
        <v>12</v>
      </c>
      <c r="B13" s="8">
        <v>1200003692</v>
      </c>
      <c r="C13" s="8">
        <v>4000018819</v>
      </c>
      <c r="D13" s="158" t="s">
        <v>599</v>
      </c>
      <c r="E13" s="8" t="s">
        <v>346</v>
      </c>
      <c r="F13" s="8">
        <v>2</v>
      </c>
      <c r="G13" s="159">
        <f t="shared" si="1"/>
        <v>4275</v>
      </c>
      <c r="H13" s="160">
        <f t="shared" si="2"/>
        <v>8550</v>
      </c>
      <c r="I13" s="167">
        <v>30</v>
      </c>
      <c r="J13" s="167">
        <v>30</v>
      </c>
      <c r="K13" s="165"/>
      <c r="L13" s="166"/>
    </row>
    <row r="14" spans="1:12" s="109" customFormat="1" ht="27.6" x14ac:dyDescent="0.3">
      <c r="A14" s="8">
        <f t="shared" si="0"/>
        <v>13</v>
      </c>
      <c r="B14" s="8">
        <v>1200003692</v>
      </c>
      <c r="C14" s="8">
        <v>4000018820</v>
      </c>
      <c r="D14" s="158" t="s">
        <v>600</v>
      </c>
      <c r="E14" s="8" t="s">
        <v>346</v>
      </c>
      <c r="F14" s="8">
        <v>2</v>
      </c>
      <c r="G14" s="159">
        <f t="shared" si="1"/>
        <v>712.5</v>
      </c>
      <c r="H14" s="160">
        <f t="shared" si="2"/>
        <v>1425</v>
      </c>
      <c r="I14" s="167">
        <v>5</v>
      </c>
      <c r="J14" s="167">
        <v>5</v>
      </c>
      <c r="K14" s="165"/>
      <c r="L14" s="166"/>
    </row>
    <row r="15" spans="1:12" s="109" customFormat="1" ht="27.6" x14ac:dyDescent="0.3">
      <c r="A15" s="8">
        <f t="shared" si="0"/>
        <v>14</v>
      </c>
      <c r="B15" s="8">
        <v>1200003692</v>
      </c>
      <c r="C15" s="8">
        <v>4000006113</v>
      </c>
      <c r="D15" s="158" t="s">
        <v>601</v>
      </c>
      <c r="E15" s="8" t="s">
        <v>346</v>
      </c>
      <c r="F15" s="8">
        <v>2</v>
      </c>
      <c r="G15" s="159">
        <f t="shared" si="1"/>
        <v>78375</v>
      </c>
      <c r="H15" s="160">
        <f t="shared" si="2"/>
        <v>156750</v>
      </c>
      <c r="I15" s="167">
        <v>550</v>
      </c>
      <c r="J15" s="167">
        <v>550</v>
      </c>
      <c r="K15" s="165"/>
      <c r="L15" s="166"/>
    </row>
    <row r="16" spans="1:12" s="109" customFormat="1" ht="27.6" x14ac:dyDescent="0.3">
      <c r="A16" s="8">
        <f t="shared" si="0"/>
        <v>15</v>
      </c>
      <c r="B16" s="8">
        <v>1200003692</v>
      </c>
      <c r="C16" s="8">
        <v>4000018821</v>
      </c>
      <c r="D16" s="158" t="s">
        <v>602</v>
      </c>
      <c r="E16" s="8" t="s">
        <v>346</v>
      </c>
      <c r="F16" s="8">
        <v>3</v>
      </c>
      <c r="G16" s="159">
        <f t="shared" si="1"/>
        <v>2137.5</v>
      </c>
      <c r="H16" s="160">
        <f t="shared" si="2"/>
        <v>6412.5</v>
      </c>
      <c r="I16" s="167">
        <v>15</v>
      </c>
      <c r="J16" s="167">
        <v>15</v>
      </c>
      <c r="K16" s="165"/>
      <c r="L16" s="166"/>
    </row>
    <row r="17" spans="1:12" s="109" customFormat="1" ht="27.6" x14ac:dyDescent="0.3">
      <c r="A17" s="8">
        <f t="shared" si="0"/>
        <v>16</v>
      </c>
      <c r="B17" s="8">
        <v>1200003692</v>
      </c>
      <c r="C17" s="8">
        <v>4000018822</v>
      </c>
      <c r="D17" s="158" t="s">
        <v>603</v>
      </c>
      <c r="E17" s="8" t="s">
        <v>346</v>
      </c>
      <c r="F17" s="8">
        <v>3</v>
      </c>
      <c r="G17" s="159">
        <f t="shared" si="1"/>
        <v>2137.5</v>
      </c>
      <c r="H17" s="160">
        <f t="shared" si="2"/>
        <v>6412.5</v>
      </c>
      <c r="I17" s="167">
        <v>15</v>
      </c>
      <c r="J17" s="167">
        <v>15</v>
      </c>
      <c r="K17" s="165"/>
      <c r="L17" s="166"/>
    </row>
    <row r="18" spans="1:12" s="109" customFormat="1" ht="27.6" x14ac:dyDescent="0.3">
      <c r="A18" s="8">
        <f t="shared" si="0"/>
        <v>17</v>
      </c>
      <c r="B18" s="8">
        <v>1200003692</v>
      </c>
      <c r="C18" s="8">
        <v>4000006114</v>
      </c>
      <c r="D18" s="158" t="s">
        <v>604</v>
      </c>
      <c r="E18" s="8" t="s">
        <v>346</v>
      </c>
      <c r="F18" s="8">
        <v>4</v>
      </c>
      <c r="G18" s="159">
        <f t="shared" si="1"/>
        <v>712.5</v>
      </c>
      <c r="H18" s="160">
        <f t="shared" si="2"/>
        <v>2850</v>
      </c>
      <c r="I18" s="167">
        <v>5</v>
      </c>
      <c r="J18" s="167">
        <v>5</v>
      </c>
      <c r="K18" s="165"/>
      <c r="L18" s="166"/>
    </row>
    <row r="19" spans="1:12" s="109" customFormat="1" ht="27.6" x14ac:dyDescent="0.3">
      <c r="A19" s="8">
        <f t="shared" si="0"/>
        <v>18</v>
      </c>
      <c r="B19" s="8">
        <v>1200003692</v>
      </c>
      <c r="C19" s="8">
        <v>4000006115</v>
      </c>
      <c r="D19" s="158" t="s">
        <v>605</v>
      </c>
      <c r="E19" s="8" t="s">
        <v>346</v>
      </c>
      <c r="F19" s="8">
        <v>2</v>
      </c>
      <c r="G19" s="159">
        <f t="shared" si="1"/>
        <v>712.5</v>
      </c>
      <c r="H19" s="160">
        <f t="shared" si="2"/>
        <v>1425</v>
      </c>
      <c r="I19" s="167">
        <v>5</v>
      </c>
      <c r="J19" s="167">
        <v>5</v>
      </c>
      <c r="K19" s="165"/>
      <c r="L19" s="166"/>
    </row>
    <row r="20" spans="1:12" s="109" customFormat="1" ht="27.6" x14ac:dyDescent="0.3">
      <c r="A20" s="8">
        <f t="shared" si="0"/>
        <v>19</v>
      </c>
      <c r="B20" s="8">
        <v>1200003692</v>
      </c>
      <c r="C20" s="8">
        <v>4000006116</v>
      </c>
      <c r="D20" s="158" t="s">
        <v>606</v>
      </c>
      <c r="E20" s="8" t="s">
        <v>346</v>
      </c>
      <c r="F20" s="8">
        <v>4</v>
      </c>
      <c r="G20" s="159">
        <f t="shared" si="1"/>
        <v>712.5</v>
      </c>
      <c r="H20" s="160">
        <f t="shared" si="2"/>
        <v>2850</v>
      </c>
      <c r="I20" s="167">
        <v>5</v>
      </c>
      <c r="J20" s="167">
        <v>5</v>
      </c>
      <c r="K20" s="165"/>
      <c r="L20" s="166"/>
    </row>
    <row r="21" spans="1:12" s="109" customFormat="1" ht="27.6" x14ac:dyDescent="0.3">
      <c r="A21" s="8">
        <f t="shared" si="0"/>
        <v>20</v>
      </c>
      <c r="B21" s="8">
        <v>1200003692</v>
      </c>
      <c r="C21" s="8">
        <v>4000006117</v>
      </c>
      <c r="D21" s="158" t="s">
        <v>607</v>
      </c>
      <c r="E21" s="8" t="s">
        <v>346</v>
      </c>
      <c r="F21" s="8">
        <v>2</v>
      </c>
      <c r="G21" s="159">
        <f t="shared" si="1"/>
        <v>712.5</v>
      </c>
      <c r="H21" s="160">
        <f t="shared" si="2"/>
        <v>1425</v>
      </c>
      <c r="I21" s="167">
        <v>5</v>
      </c>
      <c r="J21" s="167">
        <v>5</v>
      </c>
      <c r="K21" s="165"/>
      <c r="L21" s="166"/>
    </row>
    <row r="22" spans="1:12" s="109" customFormat="1" ht="27.6" x14ac:dyDescent="0.3">
      <c r="A22" s="8">
        <f t="shared" si="0"/>
        <v>21</v>
      </c>
      <c r="B22" s="8">
        <v>1200003692</v>
      </c>
      <c r="C22" s="8">
        <v>4000018823</v>
      </c>
      <c r="D22" s="158" t="s">
        <v>608</v>
      </c>
      <c r="E22" s="8" t="s">
        <v>346</v>
      </c>
      <c r="F22" s="8">
        <v>2</v>
      </c>
      <c r="G22" s="159">
        <f t="shared" si="1"/>
        <v>1425</v>
      </c>
      <c r="H22" s="160">
        <f t="shared" si="2"/>
        <v>2850</v>
      </c>
      <c r="I22" s="167">
        <v>10</v>
      </c>
      <c r="J22" s="167">
        <v>10</v>
      </c>
      <c r="K22" s="165"/>
      <c r="L22" s="166"/>
    </row>
    <row r="23" spans="1:12" s="109" customFormat="1" ht="27.6" x14ac:dyDescent="0.3">
      <c r="A23" s="8">
        <f t="shared" si="0"/>
        <v>22</v>
      </c>
      <c r="B23" s="8">
        <v>1200003692</v>
      </c>
      <c r="C23" s="8">
        <v>4000018824</v>
      </c>
      <c r="D23" s="158" t="s">
        <v>609</v>
      </c>
      <c r="E23" s="8" t="s">
        <v>346</v>
      </c>
      <c r="F23" s="8">
        <v>2</v>
      </c>
      <c r="G23" s="159">
        <f t="shared" si="1"/>
        <v>20662.5</v>
      </c>
      <c r="H23" s="160">
        <f t="shared" si="2"/>
        <v>41325</v>
      </c>
      <c r="I23" s="167">
        <v>145</v>
      </c>
      <c r="J23" s="167">
        <v>145</v>
      </c>
      <c r="K23" s="165"/>
      <c r="L23" s="166"/>
    </row>
    <row r="24" spans="1:12" s="109" customFormat="1" ht="27.6" x14ac:dyDescent="0.3">
      <c r="A24" s="8">
        <f t="shared" si="0"/>
        <v>23</v>
      </c>
      <c r="B24" s="8">
        <v>1200003692</v>
      </c>
      <c r="C24" s="8">
        <v>4000006118</v>
      </c>
      <c r="D24" s="158" t="s">
        <v>610</v>
      </c>
      <c r="E24" s="8" t="s">
        <v>346</v>
      </c>
      <c r="F24" s="8">
        <v>10</v>
      </c>
      <c r="G24" s="159">
        <f t="shared" si="1"/>
        <v>1425</v>
      </c>
      <c r="H24" s="160">
        <f t="shared" si="2"/>
        <v>14250</v>
      </c>
      <c r="I24" s="167">
        <v>10</v>
      </c>
      <c r="J24" s="167">
        <v>10</v>
      </c>
      <c r="K24" s="165"/>
      <c r="L24" s="166"/>
    </row>
    <row r="25" spans="1:12" s="109" customFormat="1" x14ac:dyDescent="0.3">
      <c r="A25" s="8">
        <f t="shared" si="0"/>
        <v>24</v>
      </c>
      <c r="B25" s="168"/>
      <c r="C25" s="273" t="s">
        <v>154</v>
      </c>
      <c r="D25" s="273"/>
      <c r="E25" s="273"/>
      <c r="F25" s="273"/>
      <c r="G25" s="273"/>
      <c r="H25" s="160">
        <f>SUM(H2:H24)</f>
        <v>1929450</v>
      </c>
      <c r="I25" s="164"/>
      <c r="J25" s="167"/>
      <c r="K25" s="165"/>
      <c r="L25" s="166"/>
    </row>
    <row r="26" spans="1:12" x14ac:dyDescent="0.3">
      <c r="A26" s="8">
        <f t="shared" si="0"/>
        <v>25</v>
      </c>
      <c r="B26" s="8"/>
      <c r="C26" s="273" t="s">
        <v>99</v>
      </c>
      <c r="D26" s="273"/>
      <c r="E26" s="273"/>
      <c r="F26" s="273"/>
      <c r="G26" s="273"/>
      <c r="H26" s="161">
        <f>H25*18%</f>
        <v>347301</v>
      </c>
      <c r="I26" s="2"/>
      <c r="J26" s="2"/>
      <c r="K26" s="2"/>
    </row>
    <row r="27" spans="1:12" x14ac:dyDescent="0.3">
      <c r="A27" s="8">
        <f t="shared" si="0"/>
        <v>26</v>
      </c>
      <c r="B27" s="8"/>
      <c r="C27" s="273" t="s">
        <v>9</v>
      </c>
      <c r="D27" s="273"/>
      <c r="E27" s="273"/>
      <c r="F27" s="273"/>
      <c r="G27" s="273"/>
      <c r="H27" s="161">
        <f>SUM(H25:H26)</f>
        <v>2276751</v>
      </c>
      <c r="I27" s="2"/>
      <c r="J27" s="2"/>
      <c r="K27" s="2"/>
    </row>
    <row r="28" spans="1:12" s="6" customFormat="1" x14ac:dyDescent="0.3">
      <c r="A28" s="274" t="s">
        <v>12</v>
      </c>
      <c r="B28" s="274"/>
      <c r="C28" s="274"/>
      <c r="D28" s="274"/>
      <c r="E28" s="274"/>
      <c r="F28" s="274"/>
      <c r="G28" s="274"/>
      <c r="H28" s="274"/>
      <c r="I28" s="16"/>
      <c r="J28" s="2"/>
    </row>
    <row r="29" spans="1:12" s="6" customFormat="1" ht="141" customHeight="1" x14ac:dyDescent="0.3">
      <c r="A29" s="162" t="s">
        <v>570</v>
      </c>
      <c r="B29" s="272" t="s">
        <v>571</v>
      </c>
      <c r="C29" s="272"/>
      <c r="D29" s="272"/>
      <c r="E29" s="272"/>
      <c r="F29" s="272"/>
      <c r="G29" s="272"/>
      <c r="H29" s="272"/>
      <c r="I29" s="12"/>
      <c r="J29" s="2"/>
    </row>
    <row r="32" spans="1:12" x14ac:dyDescent="0.3">
      <c r="D32" s="6" t="s">
        <v>587</v>
      </c>
    </row>
  </sheetData>
  <mergeCells count="5">
    <mergeCell ref="C25:G25"/>
    <mergeCell ref="C26:G26"/>
    <mergeCell ref="C27:G27"/>
    <mergeCell ref="A28:H28"/>
    <mergeCell ref="B29:H29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CEAA-DFBA-4107-AFBF-3CFBE0BEAC79}">
  <dimension ref="A1:M22"/>
  <sheetViews>
    <sheetView zoomScaleNormal="100" workbookViewId="0"/>
  </sheetViews>
  <sheetFormatPr defaultColWidth="9.109375" defaultRowHeight="13.8" x14ac:dyDescent="0.3"/>
  <cols>
    <col min="1" max="1" width="6.109375" style="13" customWidth="1"/>
    <col min="2" max="2" width="14.5546875" style="13" bestFit="1" customWidth="1"/>
    <col min="3" max="3" width="16.88671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3.44140625" style="14" bestFit="1" customWidth="1"/>
    <col min="13" max="13" width="13.6640625" style="14" bestFit="1" customWidth="1"/>
    <col min="14" max="16384" width="9.109375" style="14"/>
  </cols>
  <sheetData>
    <row r="1" spans="1:13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/>
    </row>
    <row r="2" spans="1:13" s="109" customFormat="1" ht="27.6" x14ac:dyDescent="0.3">
      <c r="A2" s="8">
        <f t="shared" ref="A2:A17" si="0">ROW()-1</f>
        <v>1</v>
      </c>
      <c r="B2" s="8">
        <v>1200003693</v>
      </c>
      <c r="C2" s="8">
        <v>4000006725</v>
      </c>
      <c r="D2" s="158" t="s">
        <v>611</v>
      </c>
      <c r="E2" s="8" t="s">
        <v>346</v>
      </c>
      <c r="F2" s="8">
        <v>1</v>
      </c>
      <c r="G2" s="159">
        <f t="shared" ref="G2:G14" si="1">I2*95*1.5</f>
        <v>31350</v>
      </c>
      <c r="H2" s="160">
        <f t="shared" ref="H2:H14" si="2">G2*F2</f>
        <v>31350</v>
      </c>
      <c r="I2" s="167">
        <v>220</v>
      </c>
      <c r="J2" s="167">
        <v>220</v>
      </c>
      <c r="K2" s="165"/>
      <c r="L2" s="166"/>
    </row>
    <row r="3" spans="1:13" s="109" customFormat="1" ht="27.6" x14ac:dyDescent="0.3">
      <c r="A3" s="8">
        <f t="shared" si="0"/>
        <v>2</v>
      </c>
      <c r="B3" s="8">
        <v>1200003693</v>
      </c>
      <c r="C3" s="8">
        <v>4000006727</v>
      </c>
      <c r="D3" s="158" t="s">
        <v>612</v>
      </c>
      <c r="E3" s="8" t="s">
        <v>346</v>
      </c>
      <c r="F3" s="8">
        <v>1</v>
      </c>
      <c r="G3" s="159">
        <f t="shared" si="1"/>
        <v>186675</v>
      </c>
      <c r="H3" s="160">
        <f t="shared" si="2"/>
        <v>186675</v>
      </c>
      <c r="I3" s="167">
        <v>1310</v>
      </c>
      <c r="J3" s="167">
        <v>1310</v>
      </c>
      <c r="K3" s="165"/>
      <c r="L3" s="166"/>
    </row>
    <row r="4" spans="1:13" s="109" customFormat="1" ht="27.6" x14ac:dyDescent="0.3">
      <c r="A4" s="8">
        <f t="shared" si="0"/>
        <v>3</v>
      </c>
      <c r="B4" s="8">
        <v>1200003693</v>
      </c>
      <c r="C4" s="8">
        <v>4000006721</v>
      </c>
      <c r="D4" s="158" t="s">
        <v>613</v>
      </c>
      <c r="E4" s="8" t="s">
        <v>346</v>
      </c>
      <c r="F4" s="8">
        <v>7</v>
      </c>
      <c r="G4" s="159">
        <f t="shared" si="1"/>
        <v>1140</v>
      </c>
      <c r="H4" s="160">
        <f t="shared" si="2"/>
        <v>7980</v>
      </c>
      <c r="I4" s="167">
        <v>8</v>
      </c>
      <c r="J4" s="167">
        <v>8</v>
      </c>
      <c r="K4" s="165"/>
      <c r="L4" s="166"/>
    </row>
    <row r="5" spans="1:13" s="109" customFormat="1" ht="27.6" x14ac:dyDescent="0.3">
      <c r="A5" s="8">
        <f t="shared" si="0"/>
        <v>4</v>
      </c>
      <c r="B5" s="8">
        <v>1200003693</v>
      </c>
      <c r="C5" s="8">
        <v>4000018825</v>
      </c>
      <c r="D5" s="158" t="s">
        <v>614</v>
      </c>
      <c r="E5" s="8" t="s">
        <v>346</v>
      </c>
      <c r="F5" s="8">
        <v>1</v>
      </c>
      <c r="G5" s="159">
        <f t="shared" si="1"/>
        <v>8550</v>
      </c>
      <c r="H5" s="160">
        <f t="shared" si="2"/>
        <v>8550</v>
      </c>
      <c r="I5" s="167">
        <v>60</v>
      </c>
      <c r="J5" s="167">
        <v>60</v>
      </c>
      <c r="K5" s="165"/>
      <c r="L5" s="166"/>
    </row>
    <row r="6" spans="1:13" s="109" customFormat="1" ht="27.6" x14ac:dyDescent="0.3">
      <c r="A6" s="8">
        <f t="shared" si="0"/>
        <v>5</v>
      </c>
      <c r="B6" s="8">
        <v>1200003693</v>
      </c>
      <c r="C6" s="8">
        <v>4000018832</v>
      </c>
      <c r="D6" s="158" t="s">
        <v>615</v>
      </c>
      <c r="E6" s="8" t="s">
        <v>346</v>
      </c>
      <c r="F6" s="8">
        <v>2</v>
      </c>
      <c r="G6" s="159">
        <f t="shared" si="1"/>
        <v>1140</v>
      </c>
      <c r="H6" s="160">
        <f t="shared" si="2"/>
        <v>2280</v>
      </c>
      <c r="I6" s="167">
        <v>8</v>
      </c>
      <c r="J6" s="167">
        <v>8</v>
      </c>
      <c r="K6" s="165"/>
      <c r="L6" s="166"/>
    </row>
    <row r="7" spans="1:13" s="109" customFormat="1" ht="27.6" x14ac:dyDescent="0.3">
      <c r="A7" s="8">
        <f t="shared" si="0"/>
        <v>6</v>
      </c>
      <c r="B7" s="8">
        <v>1200003693</v>
      </c>
      <c r="C7" s="8">
        <v>4000006729</v>
      </c>
      <c r="D7" s="158" t="s">
        <v>616</v>
      </c>
      <c r="E7" s="8" t="s">
        <v>346</v>
      </c>
      <c r="F7" s="8">
        <v>1</v>
      </c>
      <c r="G7" s="159">
        <f t="shared" si="1"/>
        <v>153900</v>
      </c>
      <c r="H7" s="160">
        <f t="shared" si="2"/>
        <v>153900</v>
      </c>
      <c r="I7" s="167">
        <v>1080</v>
      </c>
      <c r="J7" s="167">
        <v>1080</v>
      </c>
      <c r="K7" s="165"/>
      <c r="L7" s="166"/>
    </row>
    <row r="8" spans="1:13" s="109" customFormat="1" ht="27.6" x14ac:dyDescent="0.3">
      <c r="A8" s="8">
        <f t="shared" si="0"/>
        <v>7</v>
      </c>
      <c r="B8" s="8">
        <v>1200003693</v>
      </c>
      <c r="C8" s="8">
        <v>4000006722</v>
      </c>
      <c r="D8" s="158" t="s">
        <v>617</v>
      </c>
      <c r="E8" s="8" t="s">
        <v>346</v>
      </c>
      <c r="F8" s="8">
        <v>4</v>
      </c>
      <c r="G8" s="159">
        <f t="shared" si="1"/>
        <v>2137.5</v>
      </c>
      <c r="H8" s="160">
        <f t="shared" si="2"/>
        <v>8550</v>
      </c>
      <c r="I8" s="167">
        <v>15</v>
      </c>
      <c r="J8" s="167">
        <v>15</v>
      </c>
      <c r="K8" s="165"/>
      <c r="L8" s="166"/>
    </row>
    <row r="9" spans="1:13" s="109" customFormat="1" ht="27.6" x14ac:dyDescent="0.3">
      <c r="A9" s="8">
        <f t="shared" si="0"/>
        <v>8</v>
      </c>
      <c r="B9" s="8">
        <v>1200003693</v>
      </c>
      <c r="C9" s="8">
        <v>4000006718</v>
      </c>
      <c r="D9" s="158" t="s">
        <v>618</v>
      </c>
      <c r="E9" s="8" t="s">
        <v>346</v>
      </c>
      <c r="F9" s="8">
        <v>2</v>
      </c>
      <c r="G9" s="159">
        <f t="shared" si="1"/>
        <v>178125</v>
      </c>
      <c r="H9" s="160">
        <f t="shared" si="2"/>
        <v>356250</v>
      </c>
      <c r="I9" s="167">
        <v>1250</v>
      </c>
      <c r="J9" s="167">
        <v>1250</v>
      </c>
      <c r="K9" s="165"/>
      <c r="L9" s="166"/>
    </row>
    <row r="10" spans="1:13" s="109" customFormat="1" ht="27.6" x14ac:dyDescent="0.3">
      <c r="A10" s="8">
        <f t="shared" si="0"/>
        <v>9</v>
      </c>
      <c r="B10" s="8">
        <v>1200003693</v>
      </c>
      <c r="C10" s="8">
        <v>4000006717</v>
      </c>
      <c r="D10" s="158" t="s">
        <v>619</v>
      </c>
      <c r="E10" s="8" t="s">
        <v>346</v>
      </c>
      <c r="F10" s="8">
        <v>1</v>
      </c>
      <c r="G10" s="159">
        <f t="shared" si="1"/>
        <v>15675</v>
      </c>
      <c r="H10" s="160">
        <f t="shared" si="2"/>
        <v>15675</v>
      </c>
      <c r="I10" s="167">
        <v>110</v>
      </c>
      <c r="J10" s="167">
        <v>110</v>
      </c>
      <c r="K10" s="165"/>
      <c r="L10" s="166"/>
      <c r="M10" s="169"/>
    </row>
    <row r="11" spans="1:13" s="109" customFormat="1" ht="27.6" x14ac:dyDescent="0.3">
      <c r="A11" s="8">
        <f t="shared" si="0"/>
        <v>10</v>
      </c>
      <c r="B11" s="8">
        <v>1200003693</v>
      </c>
      <c r="C11" s="8">
        <v>4000006724</v>
      </c>
      <c r="D11" s="158" t="s">
        <v>620</v>
      </c>
      <c r="E11" s="8" t="s">
        <v>346</v>
      </c>
      <c r="F11" s="8">
        <v>4</v>
      </c>
      <c r="G11" s="159">
        <f t="shared" si="1"/>
        <v>855</v>
      </c>
      <c r="H11" s="160">
        <f t="shared" si="2"/>
        <v>3420</v>
      </c>
      <c r="I11" s="167">
        <v>6</v>
      </c>
      <c r="J11" s="167">
        <v>6</v>
      </c>
      <c r="K11" s="165"/>
      <c r="L11" s="166"/>
    </row>
    <row r="12" spans="1:13" s="109" customFormat="1" ht="27.6" x14ac:dyDescent="0.3">
      <c r="A12" s="8">
        <f t="shared" si="0"/>
        <v>11</v>
      </c>
      <c r="B12" s="8">
        <v>1200003693</v>
      </c>
      <c r="C12" s="8">
        <v>4000016303</v>
      </c>
      <c r="D12" s="158" t="s">
        <v>621</v>
      </c>
      <c r="E12" s="8" t="s">
        <v>346</v>
      </c>
      <c r="F12" s="8">
        <v>16</v>
      </c>
      <c r="G12" s="159">
        <f t="shared" si="1"/>
        <v>2280</v>
      </c>
      <c r="H12" s="160">
        <f t="shared" si="2"/>
        <v>36480</v>
      </c>
      <c r="I12" s="167">
        <v>16</v>
      </c>
      <c r="J12" s="167">
        <v>16</v>
      </c>
      <c r="K12" s="165"/>
      <c r="L12" s="166"/>
    </row>
    <row r="13" spans="1:13" s="109" customFormat="1" ht="27.6" x14ac:dyDescent="0.3">
      <c r="A13" s="8">
        <f t="shared" si="0"/>
        <v>12</v>
      </c>
      <c r="B13" s="8">
        <v>1200003693</v>
      </c>
      <c r="C13" s="8">
        <v>4000001547</v>
      </c>
      <c r="D13" s="158" t="s">
        <v>622</v>
      </c>
      <c r="E13" s="8" t="s">
        <v>346</v>
      </c>
      <c r="F13" s="8">
        <v>14</v>
      </c>
      <c r="G13" s="159">
        <f t="shared" si="1"/>
        <v>1425</v>
      </c>
      <c r="H13" s="160">
        <f t="shared" si="2"/>
        <v>19950</v>
      </c>
      <c r="I13" s="167">
        <v>10</v>
      </c>
      <c r="J13" s="167">
        <v>10</v>
      </c>
      <c r="K13" s="165"/>
      <c r="L13" s="165"/>
      <c r="M13" s="165"/>
    </row>
    <row r="14" spans="1:13" s="109" customFormat="1" ht="27.6" x14ac:dyDescent="0.3">
      <c r="A14" s="8">
        <f t="shared" si="0"/>
        <v>13</v>
      </c>
      <c r="B14" s="8">
        <v>1200003693</v>
      </c>
      <c r="C14" s="8">
        <v>4000001546</v>
      </c>
      <c r="D14" s="158" t="s">
        <v>623</v>
      </c>
      <c r="E14" s="8" t="s">
        <v>346</v>
      </c>
      <c r="F14" s="8">
        <v>14</v>
      </c>
      <c r="G14" s="159">
        <f t="shared" si="1"/>
        <v>1425</v>
      </c>
      <c r="H14" s="160">
        <f t="shared" si="2"/>
        <v>19950</v>
      </c>
      <c r="I14" s="167">
        <v>10</v>
      </c>
      <c r="J14" s="167">
        <v>10</v>
      </c>
      <c r="K14" s="165"/>
      <c r="L14" s="166"/>
    </row>
    <row r="15" spans="1:13" s="109" customFormat="1" x14ac:dyDescent="0.3">
      <c r="A15" s="8">
        <f t="shared" si="0"/>
        <v>14</v>
      </c>
      <c r="B15" s="168"/>
      <c r="C15" s="273" t="s">
        <v>154</v>
      </c>
      <c r="D15" s="273"/>
      <c r="E15" s="273"/>
      <c r="F15" s="273"/>
      <c r="G15" s="273"/>
      <c r="H15" s="160">
        <f>SUM(H2:H14)</f>
        <v>851010</v>
      </c>
      <c r="I15" s="164"/>
      <c r="J15" s="167"/>
      <c r="K15" s="165"/>
      <c r="L15" s="166"/>
    </row>
    <row r="16" spans="1:13" x14ac:dyDescent="0.3">
      <c r="A16" s="8">
        <f t="shared" si="0"/>
        <v>15</v>
      </c>
      <c r="B16" s="8"/>
      <c r="C16" s="273" t="s">
        <v>99</v>
      </c>
      <c r="D16" s="273"/>
      <c r="E16" s="273"/>
      <c r="F16" s="273"/>
      <c r="G16" s="273"/>
      <c r="H16" s="161">
        <f>H15*18%</f>
        <v>153181.79999999999</v>
      </c>
      <c r="I16" s="2"/>
      <c r="J16" s="2"/>
      <c r="K16" s="2"/>
    </row>
    <row r="17" spans="1:11" x14ac:dyDescent="0.3">
      <c r="A17" s="8">
        <f t="shared" si="0"/>
        <v>16</v>
      </c>
      <c r="B17" s="8"/>
      <c r="C17" s="273" t="s">
        <v>9</v>
      </c>
      <c r="D17" s="273"/>
      <c r="E17" s="273"/>
      <c r="F17" s="273"/>
      <c r="G17" s="273"/>
      <c r="H17" s="161">
        <f>SUM(H15:H16)</f>
        <v>1004191.8</v>
      </c>
      <c r="I17" s="2"/>
      <c r="J17" s="2"/>
      <c r="K17" s="2"/>
    </row>
    <row r="18" spans="1:11" s="6" customFormat="1" x14ac:dyDescent="0.3">
      <c r="A18" s="274" t="s">
        <v>12</v>
      </c>
      <c r="B18" s="274"/>
      <c r="C18" s="274"/>
      <c r="D18" s="274"/>
      <c r="E18" s="274"/>
      <c r="F18" s="274"/>
      <c r="G18" s="274"/>
      <c r="H18" s="274"/>
      <c r="I18" s="16"/>
      <c r="J18" s="2"/>
    </row>
    <row r="19" spans="1:11" s="6" customFormat="1" ht="141" customHeight="1" x14ac:dyDescent="0.3">
      <c r="A19" s="162" t="s">
        <v>570</v>
      </c>
      <c r="B19" s="272" t="s">
        <v>571</v>
      </c>
      <c r="C19" s="272"/>
      <c r="D19" s="272"/>
      <c r="E19" s="272"/>
      <c r="F19" s="272"/>
      <c r="G19" s="272"/>
      <c r="H19" s="272"/>
      <c r="I19" s="12"/>
      <c r="J19" s="2"/>
    </row>
    <row r="22" spans="1:11" x14ac:dyDescent="0.3">
      <c r="D22" s="6" t="s">
        <v>587</v>
      </c>
    </row>
  </sheetData>
  <mergeCells count="5">
    <mergeCell ref="C15:G15"/>
    <mergeCell ref="C16:G16"/>
    <mergeCell ref="C17:G17"/>
    <mergeCell ref="A18:H18"/>
    <mergeCell ref="B19:H19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41FE0-9E90-4D56-A236-54AFF3549C8E}">
  <dimension ref="A1:N9"/>
  <sheetViews>
    <sheetView zoomScaleNormal="100" workbookViewId="0">
      <selection activeCell="K1" sqref="K1:N4"/>
    </sheetView>
  </sheetViews>
  <sheetFormatPr defaultColWidth="9.109375" defaultRowHeight="13.8" x14ac:dyDescent="0.3"/>
  <cols>
    <col min="1" max="1" width="6.109375" style="13" customWidth="1"/>
    <col min="2" max="2" width="11" style="13" bestFit="1" customWidth="1"/>
    <col min="3" max="3" width="11.6640625" style="6" bestFit="1" customWidth="1"/>
    <col min="4" max="4" width="48.88671875" style="6" bestFit="1" customWidth="1"/>
    <col min="5" max="5" width="5.88671875" style="14" bestFit="1" customWidth="1"/>
    <col min="6" max="6" width="5.33203125" style="14" customWidth="1"/>
    <col min="7" max="7" width="11.5546875" style="14" bestFit="1" customWidth="1"/>
    <col min="8" max="8" width="15.6640625" style="14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3.44140625" style="14" bestFit="1" customWidth="1"/>
    <col min="13" max="13" width="13.6640625" style="14" bestFit="1" customWidth="1"/>
    <col min="14" max="14" width="28.44140625" style="14" customWidth="1"/>
    <col min="15" max="16384" width="9.109375" style="14"/>
  </cols>
  <sheetData>
    <row r="1" spans="1:14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 t="s">
        <v>153</v>
      </c>
      <c r="L1" s="109" t="s">
        <v>818</v>
      </c>
      <c r="N1" s="109" t="s">
        <v>153</v>
      </c>
    </row>
    <row r="2" spans="1:14" s="109" customFormat="1" ht="41.4" x14ac:dyDescent="0.3">
      <c r="A2" s="8">
        <f t="shared" ref="A2:A7" si="0">ROW()-1</f>
        <v>1</v>
      </c>
      <c r="B2" s="8">
        <v>1200002635</v>
      </c>
      <c r="C2" s="8">
        <v>6000000464</v>
      </c>
      <c r="D2" s="158" t="s">
        <v>665</v>
      </c>
      <c r="E2" s="8" t="s">
        <v>346</v>
      </c>
      <c r="F2" s="8">
        <v>1</v>
      </c>
      <c r="G2" s="159">
        <f t="shared" ref="G2:G4" si="1">I2*95*1.5</f>
        <v>478800</v>
      </c>
      <c r="H2" s="160">
        <f t="shared" ref="H2:H4" si="2">G2*F2</f>
        <v>478800</v>
      </c>
      <c r="I2" s="165">
        <v>3360</v>
      </c>
      <c r="J2" s="171">
        <v>4970</v>
      </c>
      <c r="K2" s="165">
        <v>3360</v>
      </c>
      <c r="L2" s="176">
        <v>3160</v>
      </c>
      <c r="M2" s="109">
        <v>100</v>
      </c>
    </row>
    <row r="3" spans="1:14" s="109" customFormat="1" ht="55.2" x14ac:dyDescent="0.3">
      <c r="A3" s="8">
        <f t="shared" si="0"/>
        <v>2</v>
      </c>
      <c r="B3" s="8">
        <v>1200002635</v>
      </c>
      <c r="C3" s="8">
        <v>6000000918</v>
      </c>
      <c r="D3" s="158" t="s">
        <v>666</v>
      </c>
      <c r="E3" s="8" t="s">
        <v>346</v>
      </c>
      <c r="F3" s="8">
        <v>1</v>
      </c>
      <c r="G3" s="159">
        <f t="shared" si="1"/>
        <v>1596000</v>
      </c>
      <c r="H3" s="160">
        <f t="shared" si="2"/>
        <v>1596000</v>
      </c>
      <c r="I3" s="165">
        <v>11200</v>
      </c>
      <c r="J3" s="171">
        <v>16180</v>
      </c>
      <c r="K3" s="165">
        <v>11200</v>
      </c>
      <c r="L3" s="176">
        <v>19980</v>
      </c>
      <c r="M3" s="109">
        <v>1100</v>
      </c>
      <c r="N3" s="177" t="s">
        <v>819</v>
      </c>
    </row>
    <row r="4" spans="1:14" s="109" customFormat="1" ht="55.2" x14ac:dyDescent="0.3">
      <c r="A4" s="8">
        <f t="shared" si="0"/>
        <v>3</v>
      </c>
      <c r="B4" s="8">
        <v>1200002635</v>
      </c>
      <c r="C4" s="8">
        <v>6000000916</v>
      </c>
      <c r="D4" s="158" t="s">
        <v>667</v>
      </c>
      <c r="E4" s="8" t="s">
        <v>346</v>
      </c>
      <c r="F4" s="8">
        <v>1</v>
      </c>
      <c r="G4" s="159">
        <f t="shared" si="1"/>
        <v>1945125</v>
      </c>
      <c r="H4" s="160">
        <f t="shared" si="2"/>
        <v>1945125</v>
      </c>
      <c r="I4" s="165">
        <v>13650</v>
      </c>
      <c r="J4" s="171">
        <v>17390</v>
      </c>
      <c r="K4" s="165">
        <v>13650</v>
      </c>
      <c r="L4" s="176">
        <v>21800</v>
      </c>
      <c r="M4" s="109">
        <v>1000</v>
      </c>
      <c r="N4" s="177" t="s">
        <v>820</v>
      </c>
    </row>
    <row r="5" spans="1:14" s="109" customFormat="1" x14ac:dyDescent="0.3">
      <c r="A5" s="8">
        <f t="shared" si="0"/>
        <v>4</v>
      </c>
      <c r="B5" s="168"/>
      <c r="C5" s="273" t="s">
        <v>154</v>
      </c>
      <c r="D5" s="273"/>
      <c r="E5" s="273"/>
      <c r="F5" s="273"/>
      <c r="G5" s="273"/>
      <c r="H5" s="160">
        <f>SUM(H2:H4)</f>
        <v>4019925</v>
      </c>
      <c r="I5" s="164"/>
      <c r="J5" s="167"/>
      <c r="K5" s="165"/>
      <c r="L5" s="166"/>
    </row>
    <row r="6" spans="1:14" x14ac:dyDescent="0.3">
      <c r="A6" s="8">
        <f t="shared" si="0"/>
        <v>5</v>
      </c>
      <c r="B6" s="8"/>
      <c r="C6" s="273" t="s">
        <v>99</v>
      </c>
      <c r="D6" s="273"/>
      <c r="E6" s="273"/>
      <c r="F6" s="273"/>
      <c r="G6" s="273"/>
      <c r="H6" s="161">
        <f>H5*18%</f>
        <v>723586.5</v>
      </c>
      <c r="I6" s="2"/>
      <c r="J6" s="2"/>
      <c r="K6" s="2"/>
    </row>
    <row r="7" spans="1:14" x14ac:dyDescent="0.3">
      <c r="A7" s="8">
        <f t="shared" si="0"/>
        <v>6</v>
      </c>
      <c r="B7" s="8"/>
      <c r="C7" s="273" t="s">
        <v>9</v>
      </c>
      <c r="D7" s="273"/>
      <c r="E7" s="273"/>
      <c r="F7" s="273"/>
      <c r="G7" s="273"/>
      <c r="H7" s="161">
        <f>SUM(H5:H6)</f>
        <v>4743511.5</v>
      </c>
      <c r="I7" s="2"/>
      <c r="J7" s="2"/>
      <c r="K7" s="2"/>
    </row>
    <row r="8" spans="1:14" s="6" customFormat="1" x14ac:dyDescent="0.3">
      <c r="A8" s="274" t="s">
        <v>12</v>
      </c>
      <c r="B8" s="274"/>
      <c r="C8" s="274"/>
      <c r="D8" s="274"/>
      <c r="E8" s="274"/>
      <c r="F8" s="274"/>
      <c r="G8" s="274"/>
      <c r="H8" s="274"/>
      <c r="I8" s="16"/>
      <c r="J8" s="2"/>
    </row>
    <row r="9" spans="1:14" s="6" customFormat="1" ht="141" customHeight="1" x14ac:dyDescent="0.3">
      <c r="A9" s="162" t="s">
        <v>570</v>
      </c>
      <c r="B9" s="272" t="s">
        <v>571</v>
      </c>
      <c r="C9" s="272"/>
      <c r="D9" s="272"/>
      <c r="E9" s="272"/>
      <c r="F9" s="272"/>
      <c r="G9" s="272"/>
      <c r="H9" s="272"/>
      <c r="I9" s="12"/>
      <c r="J9" s="2"/>
    </row>
  </sheetData>
  <mergeCells count="5">
    <mergeCell ref="C5:G5"/>
    <mergeCell ref="C6:G6"/>
    <mergeCell ref="C7:G7"/>
    <mergeCell ref="A8:H8"/>
    <mergeCell ref="B9:H9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CAEAC-0C73-4830-AD90-D9E167C83B9B}">
  <dimension ref="A1:L18"/>
  <sheetViews>
    <sheetView zoomScaleNormal="100" workbookViewId="0">
      <selection sqref="A1:H18"/>
    </sheetView>
  </sheetViews>
  <sheetFormatPr defaultColWidth="9.109375" defaultRowHeight="13.8" x14ac:dyDescent="0.3"/>
  <cols>
    <col min="1" max="1" width="6.109375" style="13" customWidth="1"/>
    <col min="2" max="2" width="14.5546875" style="13" bestFit="1" customWidth="1"/>
    <col min="3" max="3" width="16.88671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3.44140625" style="14" bestFit="1" customWidth="1"/>
    <col min="13" max="13" width="13.6640625" style="14" bestFit="1" customWidth="1"/>
    <col min="14" max="16384" width="9.109375" style="14"/>
  </cols>
  <sheetData>
    <row r="1" spans="1:12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/>
    </row>
    <row r="2" spans="1:12" s="109" customFormat="1" ht="27.6" x14ac:dyDescent="0.3">
      <c r="A2" s="8">
        <f t="shared" ref="A2:A17" si="0">ROW()-1</f>
        <v>1</v>
      </c>
      <c r="B2" s="8">
        <v>1200003717</v>
      </c>
      <c r="C2" s="8">
        <v>4000006941</v>
      </c>
      <c r="D2" s="158" t="s">
        <v>668</v>
      </c>
      <c r="E2" s="8" t="s">
        <v>345</v>
      </c>
      <c r="F2" s="8">
        <v>1</v>
      </c>
      <c r="G2" s="159">
        <f t="shared" ref="G2" si="1">I2*95*1.5</f>
        <v>55575</v>
      </c>
      <c r="H2" s="160">
        <f t="shared" ref="H2" si="2">G2*F2</f>
        <v>55575</v>
      </c>
      <c r="I2" s="171">
        <v>390</v>
      </c>
      <c r="J2" s="171">
        <v>390</v>
      </c>
      <c r="K2" s="165"/>
      <c r="L2" s="166"/>
    </row>
    <row r="3" spans="1:12" s="109" customFormat="1" ht="27.6" x14ac:dyDescent="0.3">
      <c r="A3" s="8">
        <f t="shared" si="0"/>
        <v>2</v>
      </c>
      <c r="B3" s="8">
        <v>1200003717</v>
      </c>
      <c r="C3" s="8">
        <v>4000006940</v>
      </c>
      <c r="D3" s="158" t="s">
        <v>669</v>
      </c>
      <c r="E3" s="8" t="s">
        <v>345</v>
      </c>
      <c r="F3" s="8">
        <v>1</v>
      </c>
      <c r="G3" s="159">
        <f t="shared" ref="G3:G14" si="3">I3*95*1.5</f>
        <v>55575</v>
      </c>
      <c r="H3" s="160">
        <f t="shared" ref="H3:H14" si="4">G3*F3</f>
        <v>55575</v>
      </c>
      <c r="I3" s="171">
        <v>390</v>
      </c>
      <c r="J3" s="171">
        <v>390</v>
      </c>
      <c r="K3" s="165"/>
      <c r="L3" s="166"/>
    </row>
    <row r="4" spans="1:12" s="109" customFormat="1" ht="27.6" x14ac:dyDescent="0.3">
      <c r="A4" s="8">
        <f t="shared" si="0"/>
        <v>3</v>
      </c>
      <c r="B4" s="8">
        <v>1200003717</v>
      </c>
      <c r="C4" s="8">
        <v>4000006919</v>
      </c>
      <c r="D4" s="158" t="s">
        <v>670</v>
      </c>
      <c r="E4" s="8" t="s">
        <v>346</v>
      </c>
      <c r="F4" s="8">
        <v>1</v>
      </c>
      <c r="G4" s="159">
        <f t="shared" si="3"/>
        <v>55575</v>
      </c>
      <c r="H4" s="160">
        <f t="shared" si="4"/>
        <v>55575</v>
      </c>
      <c r="I4" s="171">
        <v>390</v>
      </c>
      <c r="J4" s="171">
        <v>390</v>
      </c>
      <c r="K4" s="165"/>
      <c r="L4" s="166"/>
    </row>
    <row r="5" spans="1:12" s="109" customFormat="1" ht="27.6" x14ac:dyDescent="0.3">
      <c r="A5" s="8">
        <f t="shared" si="0"/>
        <v>4</v>
      </c>
      <c r="B5" s="8">
        <v>1200003717</v>
      </c>
      <c r="C5" s="8">
        <v>4000006922</v>
      </c>
      <c r="D5" s="158" t="s">
        <v>671</v>
      </c>
      <c r="E5" s="8" t="s">
        <v>346</v>
      </c>
      <c r="F5" s="8">
        <v>1</v>
      </c>
      <c r="G5" s="159">
        <f t="shared" si="3"/>
        <v>59850</v>
      </c>
      <c r="H5" s="160">
        <f t="shared" si="4"/>
        <v>59850</v>
      </c>
      <c r="I5" s="171">
        <v>420</v>
      </c>
      <c r="J5" s="171">
        <v>420</v>
      </c>
      <c r="K5" s="165"/>
      <c r="L5" s="166"/>
    </row>
    <row r="6" spans="1:12" s="109" customFormat="1" ht="27.6" x14ac:dyDescent="0.3">
      <c r="A6" s="8">
        <f t="shared" si="0"/>
        <v>5</v>
      </c>
      <c r="B6" s="8">
        <v>1200003717</v>
      </c>
      <c r="C6" s="8">
        <v>4000006923</v>
      </c>
      <c r="D6" s="158" t="s">
        <v>672</v>
      </c>
      <c r="E6" s="8" t="s">
        <v>345</v>
      </c>
      <c r="F6" s="8">
        <v>1</v>
      </c>
      <c r="G6" s="159">
        <f t="shared" si="3"/>
        <v>59850</v>
      </c>
      <c r="H6" s="160">
        <f t="shared" si="4"/>
        <v>59850</v>
      </c>
      <c r="I6" s="171">
        <v>420</v>
      </c>
      <c r="J6" s="171">
        <v>420</v>
      </c>
      <c r="K6" s="165"/>
      <c r="L6" s="166"/>
    </row>
    <row r="7" spans="1:12" s="109" customFormat="1" ht="27.6" x14ac:dyDescent="0.3">
      <c r="A7" s="8">
        <f t="shared" si="0"/>
        <v>6</v>
      </c>
      <c r="B7" s="8">
        <v>1200003717</v>
      </c>
      <c r="C7" s="8">
        <v>4000006924</v>
      </c>
      <c r="D7" s="158" t="s">
        <v>673</v>
      </c>
      <c r="E7" s="8" t="s">
        <v>345</v>
      </c>
      <c r="F7" s="8">
        <v>1</v>
      </c>
      <c r="G7" s="159">
        <f t="shared" si="3"/>
        <v>59850</v>
      </c>
      <c r="H7" s="160">
        <f t="shared" si="4"/>
        <v>59850</v>
      </c>
      <c r="I7" s="171">
        <v>420</v>
      </c>
      <c r="J7" s="171">
        <v>420</v>
      </c>
      <c r="K7" s="165"/>
      <c r="L7" s="166"/>
    </row>
    <row r="8" spans="1:12" s="109" customFormat="1" ht="27.6" x14ac:dyDescent="0.3">
      <c r="A8" s="8">
        <f t="shared" si="0"/>
        <v>7</v>
      </c>
      <c r="B8" s="8">
        <v>1200003717</v>
      </c>
      <c r="C8" s="8">
        <v>4000006931</v>
      </c>
      <c r="D8" s="158" t="s">
        <v>674</v>
      </c>
      <c r="E8" s="8" t="s">
        <v>345</v>
      </c>
      <c r="F8" s="8">
        <v>1</v>
      </c>
      <c r="G8" s="159">
        <f t="shared" si="3"/>
        <v>59850</v>
      </c>
      <c r="H8" s="160">
        <f t="shared" si="4"/>
        <v>59850</v>
      </c>
      <c r="I8" s="171">
        <v>420</v>
      </c>
      <c r="J8" s="171">
        <v>420</v>
      </c>
      <c r="K8" s="165"/>
      <c r="L8" s="166"/>
    </row>
    <row r="9" spans="1:12" s="109" customFormat="1" ht="27.6" x14ac:dyDescent="0.3">
      <c r="A9" s="8">
        <f t="shared" si="0"/>
        <v>8</v>
      </c>
      <c r="B9" s="8">
        <v>1200003717</v>
      </c>
      <c r="C9" s="8">
        <v>4000006933</v>
      </c>
      <c r="D9" s="158" t="s">
        <v>675</v>
      </c>
      <c r="E9" s="8" t="s">
        <v>345</v>
      </c>
      <c r="F9" s="8">
        <v>1</v>
      </c>
      <c r="G9" s="159">
        <f t="shared" si="3"/>
        <v>61275</v>
      </c>
      <c r="H9" s="160">
        <f t="shared" si="4"/>
        <v>61275</v>
      </c>
      <c r="I9" s="171">
        <v>430</v>
      </c>
      <c r="J9" s="171">
        <v>430</v>
      </c>
      <c r="K9" s="165"/>
      <c r="L9" s="166"/>
    </row>
    <row r="10" spans="1:12" s="109" customFormat="1" ht="27.6" x14ac:dyDescent="0.3">
      <c r="A10" s="8">
        <f t="shared" si="0"/>
        <v>9</v>
      </c>
      <c r="B10" s="8">
        <v>1200003717</v>
      </c>
      <c r="C10" s="8">
        <v>4000006937</v>
      </c>
      <c r="D10" s="158" t="s">
        <v>676</v>
      </c>
      <c r="E10" s="8" t="s">
        <v>345</v>
      </c>
      <c r="F10" s="8">
        <v>1</v>
      </c>
      <c r="G10" s="159">
        <f t="shared" si="3"/>
        <v>61275</v>
      </c>
      <c r="H10" s="160">
        <f t="shared" si="4"/>
        <v>61275</v>
      </c>
      <c r="I10" s="171">
        <v>430</v>
      </c>
      <c r="J10" s="171">
        <v>430</v>
      </c>
      <c r="K10" s="165"/>
      <c r="L10" s="166"/>
    </row>
    <row r="11" spans="1:12" s="109" customFormat="1" ht="27.6" x14ac:dyDescent="0.3">
      <c r="A11" s="8">
        <f t="shared" si="0"/>
        <v>10</v>
      </c>
      <c r="B11" s="8">
        <v>1200003717</v>
      </c>
      <c r="C11" s="8">
        <v>4000003748</v>
      </c>
      <c r="D11" s="158" t="s">
        <v>677</v>
      </c>
      <c r="E11" s="8" t="s">
        <v>345</v>
      </c>
      <c r="F11" s="8">
        <v>1</v>
      </c>
      <c r="G11" s="159">
        <f t="shared" si="3"/>
        <v>64125</v>
      </c>
      <c r="H11" s="160">
        <f t="shared" si="4"/>
        <v>64125</v>
      </c>
      <c r="I11" s="171">
        <v>450</v>
      </c>
      <c r="J11" s="171">
        <v>450</v>
      </c>
      <c r="K11" s="165"/>
      <c r="L11" s="166"/>
    </row>
    <row r="12" spans="1:12" s="109" customFormat="1" ht="27.6" x14ac:dyDescent="0.3">
      <c r="A12" s="8">
        <f t="shared" si="0"/>
        <v>11</v>
      </c>
      <c r="B12" s="8">
        <v>1200003717</v>
      </c>
      <c r="C12" s="8">
        <v>4000003749</v>
      </c>
      <c r="D12" s="158" t="s">
        <v>678</v>
      </c>
      <c r="E12" s="8" t="s">
        <v>345</v>
      </c>
      <c r="F12" s="8">
        <v>1</v>
      </c>
      <c r="G12" s="159">
        <f t="shared" si="3"/>
        <v>64125</v>
      </c>
      <c r="H12" s="160">
        <f t="shared" si="4"/>
        <v>64125</v>
      </c>
      <c r="I12" s="171">
        <v>450</v>
      </c>
      <c r="J12" s="171">
        <v>450</v>
      </c>
      <c r="K12" s="165"/>
      <c r="L12" s="166"/>
    </row>
    <row r="13" spans="1:12" s="109" customFormat="1" ht="27.6" x14ac:dyDescent="0.3">
      <c r="A13" s="8">
        <f t="shared" si="0"/>
        <v>12</v>
      </c>
      <c r="B13" s="8">
        <v>1200003717</v>
      </c>
      <c r="C13" s="8">
        <v>4000006930</v>
      </c>
      <c r="D13" s="158" t="s">
        <v>679</v>
      </c>
      <c r="E13" s="8" t="s">
        <v>345</v>
      </c>
      <c r="F13" s="8">
        <v>1</v>
      </c>
      <c r="G13" s="159">
        <f t="shared" si="3"/>
        <v>65550</v>
      </c>
      <c r="H13" s="160">
        <f t="shared" si="4"/>
        <v>65550</v>
      </c>
      <c r="I13" s="171">
        <v>460</v>
      </c>
      <c r="J13" s="171">
        <v>460</v>
      </c>
      <c r="K13" s="165"/>
      <c r="L13" s="166"/>
    </row>
    <row r="14" spans="1:12" s="109" customFormat="1" ht="27.6" x14ac:dyDescent="0.3">
      <c r="A14" s="8">
        <f t="shared" si="0"/>
        <v>13</v>
      </c>
      <c r="B14" s="8">
        <v>1200003717</v>
      </c>
      <c r="C14" s="8">
        <v>4000001030</v>
      </c>
      <c r="D14" s="158" t="s">
        <v>680</v>
      </c>
      <c r="E14" s="8" t="s">
        <v>346</v>
      </c>
      <c r="F14" s="8">
        <v>20</v>
      </c>
      <c r="G14" s="159">
        <f t="shared" si="3"/>
        <v>1140</v>
      </c>
      <c r="H14" s="160">
        <f t="shared" si="4"/>
        <v>22800</v>
      </c>
      <c r="I14" s="171">
        <v>8</v>
      </c>
      <c r="J14" s="171">
        <v>8</v>
      </c>
      <c r="K14" s="165"/>
      <c r="L14" s="166"/>
    </row>
    <row r="15" spans="1:12" s="109" customFormat="1" x14ac:dyDescent="0.3">
      <c r="A15" s="8">
        <f t="shared" si="0"/>
        <v>14</v>
      </c>
      <c r="B15" s="168"/>
      <c r="C15" s="273" t="s">
        <v>154</v>
      </c>
      <c r="D15" s="273"/>
      <c r="E15" s="273"/>
      <c r="F15" s="273"/>
      <c r="G15" s="273"/>
      <c r="H15" s="160">
        <f>SUM(H2:H14)</f>
        <v>745275</v>
      </c>
      <c r="I15" s="164"/>
      <c r="J15" s="167"/>
      <c r="K15" s="165"/>
      <c r="L15" s="166"/>
    </row>
    <row r="16" spans="1:12" x14ac:dyDescent="0.3">
      <c r="A16" s="8">
        <f t="shared" si="0"/>
        <v>15</v>
      </c>
      <c r="B16" s="8"/>
      <c r="C16" s="273" t="s">
        <v>99</v>
      </c>
      <c r="D16" s="273"/>
      <c r="E16" s="273"/>
      <c r="F16" s="273"/>
      <c r="G16" s="273"/>
      <c r="H16" s="161">
        <f>H15*18%</f>
        <v>134149.5</v>
      </c>
      <c r="I16" s="2"/>
      <c r="J16" s="2"/>
      <c r="K16" s="2"/>
    </row>
    <row r="17" spans="1:11" x14ac:dyDescent="0.3">
      <c r="A17" s="8">
        <f t="shared" si="0"/>
        <v>16</v>
      </c>
      <c r="B17" s="8"/>
      <c r="C17" s="273" t="s">
        <v>9</v>
      </c>
      <c r="D17" s="273"/>
      <c r="E17" s="273"/>
      <c r="F17" s="273"/>
      <c r="G17" s="273"/>
      <c r="H17" s="161">
        <f>SUM(H15:H16)</f>
        <v>879424.5</v>
      </c>
      <c r="I17" s="2"/>
      <c r="J17" s="2"/>
      <c r="K17" s="2"/>
    </row>
    <row r="18" spans="1:11" s="6" customFormat="1" ht="141" customHeight="1" x14ac:dyDescent="0.3">
      <c r="A18" s="162" t="s">
        <v>570</v>
      </c>
      <c r="B18" s="272" t="s">
        <v>571</v>
      </c>
      <c r="C18" s="272"/>
      <c r="D18" s="272"/>
      <c r="E18" s="272"/>
      <c r="F18" s="272"/>
      <c r="G18" s="272"/>
      <c r="H18" s="272"/>
      <c r="I18" s="12"/>
      <c r="J18" s="2"/>
    </row>
  </sheetData>
  <mergeCells count="4">
    <mergeCell ref="C15:G15"/>
    <mergeCell ref="C16:G16"/>
    <mergeCell ref="C17:G17"/>
    <mergeCell ref="B18:H18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E13DC-AC2F-4BF1-B16F-B779B5D5B396}">
  <dimension ref="A1:L12"/>
  <sheetViews>
    <sheetView zoomScaleNormal="100" workbookViewId="0">
      <selection sqref="A1:H12"/>
    </sheetView>
  </sheetViews>
  <sheetFormatPr defaultColWidth="9.109375" defaultRowHeight="13.8" x14ac:dyDescent="0.3"/>
  <cols>
    <col min="1" max="1" width="6.109375" style="13" customWidth="1"/>
    <col min="2" max="2" width="14.5546875" style="13" bestFit="1" customWidth="1"/>
    <col min="3" max="3" width="16.88671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3.44140625" style="14" bestFit="1" customWidth="1"/>
    <col min="13" max="13" width="13.6640625" style="14" bestFit="1" customWidth="1"/>
    <col min="14" max="16384" width="9.109375" style="14"/>
  </cols>
  <sheetData>
    <row r="1" spans="1:12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/>
    </row>
    <row r="2" spans="1:12" s="109" customFormat="1" ht="14.4" x14ac:dyDescent="0.3">
      <c r="A2" s="8">
        <f t="shared" ref="A2:A11" si="0">ROW()-1</f>
        <v>1</v>
      </c>
      <c r="B2" s="8">
        <v>1200003718</v>
      </c>
      <c r="C2" s="8">
        <v>4000006939</v>
      </c>
      <c r="D2" s="158" t="s">
        <v>681</v>
      </c>
      <c r="E2" s="8" t="s">
        <v>345</v>
      </c>
      <c r="F2" s="8">
        <v>1</v>
      </c>
      <c r="G2" s="159">
        <f t="shared" ref="G2:G8" si="1">I2*95*1.5</f>
        <v>89775</v>
      </c>
      <c r="H2" s="160">
        <f t="shared" ref="H2:H8" si="2">G2*F2</f>
        <v>89775</v>
      </c>
      <c r="I2" s="171">
        <v>630</v>
      </c>
      <c r="J2" s="171">
        <v>630</v>
      </c>
      <c r="K2" s="165"/>
      <c r="L2" s="166"/>
    </row>
    <row r="3" spans="1:12" s="109" customFormat="1" ht="27.6" x14ac:dyDescent="0.3">
      <c r="A3" s="8">
        <f t="shared" si="0"/>
        <v>2</v>
      </c>
      <c r="B3" s="8">
        <v>1200003718</v>
      </c>
      <c r="C3" s="8">
        <v>4000003751</v>
      </c>
      <c r="D3" s="158" t="s">
        <v>682</v>
      </c>
      <c r="E3" s="8" t="s">
        <v>345</v>
      </c>
      <c r="F3" s="8">
        <v>1</v>
      </c>
      <c r="G3" s="159">
        <f t="shared" si="1"/>
        <v>89775</v>
      </c>
      <c r="H3" s="160">
        <f t="shared" si="2"/>
        <v>89775</v>
      </c>
      <c r="I3" s="171">
        <v>630</v>
      </c>
      <c r="J3" s="171">
        <v>630</v>
      </c>
      <c r="K3" s="165"/>
      <c r="L3" s="166"/>
    </row>
    <row r="4" spans="1:12" s="109" customFormat="1" ht="27.6" x14ac:dyDescent="0.3">
      <c r="A4" s="8">
        <f t="shared" si="0"/>
        <v>3</v>
      </c>
      <c r="B4" s="8">
        <v>1200003718</v>
      </c>
      <c r="C4" s="8">
        <v>4000006475</v>
      </c>
      <c r="D4" s="158" t="s">
        <v>683</v>
      </c>
      <c r="E4" s="8" t="s">
        <v>345</v>
      </c>
      <c r="F4" s="8">
        <v>1</v>
      </c>
      <c r="G4" s="159">
        <f t="shared" si="1"/>
        <v>89775</v>
      </c>
      <c r="H4" s="160">
        <f t="shared" si="2"/>
        <v>89775</v>
      </c>
      <c r="I4" s="171">
        <v>630</v>
      </c>
      <c r="J4" s="171">
        <v>630</v>
      </c>
      <c r="K4" s="165"/>
      <c r="L4" s="166"/>
    </row>
    <row r="5" spans="1:12" s="109" customFormat="1" ht="27.6" x14ac:dyDescent="0.3">
      <c r="A5" s="8">
        <f t="shared" si="0"/>
        <v>4</v>
      </c>
      <c r="B5" s="8">
        <v>1200003718</v>
      </c>
      <c r="C5" s="8">
        <v>4000006882</v>
      </c>
      <c r="D5" s="158" t="s">
        <v>684</v>
      </c>
      <c r="E5" s="8" t="s">
        <v>345</v>
      </c>
      <c r="F5" s="8">
        <v>1</v>
      </c>
      <c r="G5" s="159">
        <f t="shared" si="1"/>
        <v>89775</v>
      </c>
      <c r="H5" s="160">
        <f t="shared" si="2"/>
        <v>89775</v>
      </c>
      <c r="I5" s="171">
        <v>630</v>
      </c>
      <c r="J5" s="171">
        <v>630</v>
      </c>
      <c r="K5" s="165"/>
      <c r="L5" s="166"/>
    </row>
    <row r="6" spans="1:12" s="109" customFormat="1" ht="27.6" x14ac:dyDescent="0.3">
      <c r="A6" s="8">
        <f t="shared" si="0"/>
        <v>5</v>
      </c>
      <c r="B6" s="8">
        <v>1200003718</v>
      </c>
      <c r="C6" s="8">
        <v>4000006890</v>
      </c>
      <c r="D6" s="158" t="s">
        <v>685</v>
      </c>
      <c r="E6" s="8" t="s">
        <v>345</v>
      </c>
      <c r="F6" s="8">
        <v>1</v>
      </c>
      <c r="G6" s="159">
        <f t="shared" si="1"/>
        <v>89775</v>
      </c>
      <c r="H6" s="160">
        <f t="shared" si="2"/>
        <v>89775</v>
      </c>
      <c r="I6" s="171">
        <v>630</v>
      </c>
      <c r="J6" s="171">
        <v>630</v>
      </c>
      <c r="K6" s="165"/>
      <c r="L6" s="166"/>
    </row>
    <row r="7" spans="1:12" s="109" customFormat="1" ht="27.6" x14ac:dyDescent="0.3">
      <c r="A7" s="8">
        <f t="shared" si="0"/>
        <v>6</v>
      </c>
      <c r="B7" s="8">
        <v>1200003718</v>
      </c>
      <c r="C7" s="8">
        <v>4000020040</v>
      </c>
      <c r="D7" s="158" t="s">
        <v>686</v>
      </c>
      <c r="E7" s="8" t="s">
        <v>346</v>
      </c>
      <c r="F7" s="8">
        <v>2</v>
      </c>
      <c r="G7" s="159">
        <f t="shared" si="1"/>
        <v>712.5</v>
      </c>
      <c r="H7" s="160">
        <f t="shared" si="2"/>
        <v>1425</v>
      </c>
      <c r="I7" s="171">
        <v>5</v>
      </c>
      <c r="J7" s="171">
        <v>5</v>
      </c>
      <c r="K7" s="165"/>
      <c r="L7" s="166"/>
    </row>
    <row r="8" spans="1:12" s="109" customFormat="1" ht="27.6" x14ac:dyDescent="0.3">
      <c r="A8" s="8">
        <f t="shared" si="0"/>
        <v>7</v>
      </c>
      <c r="B8" s="8">
        <v>1200003718</v>
      </c>
      <c r="C8" s="8">
        <v>4000006451</v>
      </c>
      <c r="D8" s="158" t="s">
        <v>687</v>
      </c>
      <c r="E8" s="8" t="s">
        <v>345</v>
      </c>
      <c r="F8" s="8">
        <v>1</v>
      </c>
      <c r="G8" s="159">
        <f t="shared" si="1"/>
        <v>226575</v>
      </c>
      <c r="H8" s="160">
        <f t="shared" si="2"/>
        <v>226575</v>
      </c>
      <c r="I8" s="171">
        <v>1590</v>
      </c>
      <c r="J8" s="171">
        <v>1590</v>
      </c>
      <c r="K8" s="165"/>
      <c r="L8" s="166"/>
    </row>
    <row r="9" spans="1:12" s="109" customFormat="1" x14ac:dyDescent="0.3">
      <c r="A9" s="8">
        <f t="shared" si="0"/>
        <v>8</v>
      </c>
      <c r="B9" s="168"/>
      <c r="C9" s="273" t="s">
        <v>154</v>
      </c>
      <c r="D9" s="273"/>
      <c r="E9" s="273"/>
      <c r="F9" s="273"/>
      <c r="G9" s="273"/>
      <c r="H9" s="160">
        <f>SUM(H2:H8)</f>
        <v>676875</v>
      </c>
      <c r="I9" s="164"/>
      <c r="J9" s="167"/>
      <c r="K9" s="165"/>
      <c r="L9" s="166"/>
    </row>
    <row r="10" spans="1:12" x14ac:dyDescent="0.3">
      <c r="A10" s="8">
        <f t="shared" si="0"/>
        <v>9</v>
      </c>
      <c r="B10" s="8"/>
      <c r="C10" s="273" t="s">
        <v>99</v>
      </c>
      <c r="D10" s="273"/>
      <c r="E10" s="273"/>
      <c r="F10" s="273"/>
      <c r="G10" s="273"/>
      <c r="H10" s="161">
        <f>H9*18%</f>
        <v>121837.5</v>
      </c>
      <c r="I10" s="2"/>
      <c r="J10" s="2"/>
      <c r="K10" s="2"/>
    </row>
    <row r="11" spans="1:12" x14ac:dyDescent="0.3">
      <c r="A11" s="8">
        <f t="shared" si="0"/>
        <v>10</v>
      </c>
      <c r="B11" s="8"/>
      <c r="C11" s="273" t="s">
        <v>9</v>
      </c>
      <c r="D11" s="273"/>
      <c r="E11" s="273"/>
      <c r="F11" s="273"/>
      <c r="G11" s="273"/>
      <c r="H11" s="161">
        <f>SUM(H9:H10)</f>
        <v>798712.5</v>
      </c>
      <c r="I11" s="2"/>
      <c r="J11" s="2"/>
      <c r="K11" s="2"/>
    </row>
    <row r="12" spans="1:12" s="6" customFormat="1" ht="141" customHeight="1" x14ac:dyDescent="0.3">
      <c r="A12" s="162" t="s">
        <v>570</v>
      </c>
      <c r="B12" s="272" t="s">
        <v>571</v>
      </c>
      <c r="C12" s="272"/>
      <c r="D12" s="272"/>
      <c r="E12" s="272"/>
      <c r="F12" s="272"/>
      <c r="G12" s="272"/>
      <c r="H12" s="272"/>
      <c r="I12" s="12"/>
      <c r="J12" s="2"/>
    </row>
  </sheetData>
  <mergeCells count="4">
    <mergeCell ref="C9:G9"/>
    <mergeCell ref="C10:G10"/>
    <mergeCell ref="C11:G11"/>
    <mergeCell ref="B12:H12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58C42-6CB0-48AE-87C9-5C6A8E0981A0}">
  <dimension ref="A1:L27"/>
  <sheetViews>
    <sheetView topLeftCell="A14" zoomScaleNormal="100" workbookViewId="0">
      <selection sqref="A1:H27"/>
    </sheetView>
  </sheetViews>
  <sheetFormatPr defaultColWidth="9.109375" defaultRowHeight="13.8" x14ac:dyDescent="0.3"/>
  <cols>
    <col min="1" max="1" width="6.109375" style="13" customWidth="1"/>
    <col min="2" max="2" width="14.5546875" style="13" bestFit="1" customWidth="1"/>
    <col min="3" max="3" width="16.88671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3.44140625" style="14" bestFit="1" customWidth="1"/>
    <col min="13" max="13" width="13.6640625" style="14" bestFit="1" customWidth="1"/>
    <col min="14" max="16384" width="9.109375" style="14"/>
  </cols>
  <sheetData>
    <row r="1" spans="1:12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/>
    </row>
    <row r="2" spans="1:12" s="109" customFormat="1" ht="28.8" x14ac:dyDescent="0.3">
      <c r="A2" s="8">
        <f t="shared" ref="A2:A26" si="0">ROW()-1</f>
        <v>1</v>
      </c>
      <c r="B2" s="172">
        <v>1200003719</v>
      </c>
      <c r="C2" s="172">
        <v>4000006928</v>
      </c>
      <c r="D2" s="173" t="s">
        <v>688</v>
      </c>
      <c r="E2" s="174" t="s">
        <v>345</v>
      </c>
      <c r="F2" s="172">
        <v>1</v>
      </c>
      <c r="G2" s="159">
        <f t="shared" ref="G2:G8" si="1">I2*95*1.5</f>
        <v>57000</v>
      </c>
      <c r="H2" s="160">
        <f t="shared" ref="H2:H8" si="2">G2*F2</f>
        <v>57000</v>
      </c>
      <c r="I2" s="171">
        <v>400</v>
      </c>
      <c r="J2" s="171">
        <v>400</v>
      </c>
      <c r="K2" s="165"/>
      <c r="L2" s="166"/>
    </row>
    <row r="3" spans="1:12" s="109" customFormat="1" ht="28.8" x14ac:dyDescent="0.3">
      <c r="A3" s="8">
        <f t="shared" si="0"/>
        <v>2</v>
      </c>
      <c r="B3" s="172">
        <v>1200003719</v>
      </c>
      <c r="C3" s="172">
        <v>4000006918</v>
      </c>
      <c r="D3" s="173" t="s">
        <v>689</v>
      </c>
      <c r="E3" s="174" t="s">
        <v>345</v>
      </c>
      <c r="F3" s="172">
        <v>1</v>
      </c>
      <c r="G3" s="159">
        <f t="shared" si="1"/>
        <v>57000</v>
      </c>
      <c r="H3" s="160">
        <f t="shared" si="2"/>
        <v>57000</v>
      </c>
      <c r="I3" s="171">
        <v>400</v>
      </c>
      <c r="J3" s="171">
        <v>400</v>
      </c>
      <c r="K3" s="165"/>
      <c r="L3" s="166"/>
    </row>
    <row r="4" spans="1:12" s="109" customFormat="1" ht="28.8" x14ac:dyDescent="0.3">
      <c r="A4" s="8">
        <f t="shared" si="0"/>
        <v>3</v>
      </c>
      <c r="B4" s="172">
        <v>1200003719</v>
      </c>
      <c r="C4" s="172">
        <v>4000006917</v>
      </c>
      <c r="D4" s="173" t="s">
        <v>690</v>
      </c>
      <c r="E4" s="174" t="s">
        <v>345</v>
      </c>
      <c r="F4" s="172">
        <v>1</v>
      </c>
      <c r="G4" s="159">
        <f t="shared" si="1"/>
        <v>57000</v>
      </c>
      <c r="H4" s="160">
        <f t="shared" si="2"/>
        <v>57000</v>
      </c>
      <c r="I4" s="171">
        <v>400</v>
      </c>
      <c r="J4" s="171">
        <v>400</v>
      </c>
      <c r="K4" s="165"/>
      <c r="L4" s="166"/>
    </row>
    <row r="5" spans="1:12" s="109" customFormat="1" ht="28.8" x14ac:dyDescent="0.3">
      <c r="A5" s="8">
        <f t="shared" si="0"/>
        <v>4</v>
      </c>
      <c r="B5" s="172">
        <v>1200003719</v>
      </c>
      <c r="C5" s="172">
        <v>4000006916</v>
      </c>
      <c r="D5" s="173" t="s">
        <v>691</v>
      </c>
      <c r="E5" s="174" t="s">
        <v>345</v>
      </c>
      <c r="F5" s="172">
        <v>1</v>
      </c>
      <c r="G5" s="159">
        <f t="shared" si="1"/>
        <v>61275</v>
      </c>
      <c r="H5" s="160">
        <f t="shared" si="2"/>
        <v>61275</v>
      </c>
      <c r="I5" s="171">
        <v>430</v>
      </c>
      <c r="J5" s="171">
        <v>430</v>
      </c>
      <c r="K5" s="165"/>
      <c r="L5" s="166"/>
    </row>
    <row r="6" spans="1:12" s="109" customFormat="1" ht="28.8" x14ac:dyDescent="0.3">
      <c r="A6" s="8">
        <f t="shared" si="0"/>
        <v>5</v>
      </c>
      <c r="B6" s="172">
        <v>1200003719</v>
      </c>
      <c r="C6" s="172">
        <v>4000006915</v>
      </c>
      <c r="D6" s="173" t="s">
        <v>692</v>
      </c>
      <c r="E6" s="174" t="s">
        <v>345</v>
      </c>
      <c r="F6" s="172">
        <v>1</v>
      </c>
      <c r="G6" s="159">
        <f t="shared" si="1"/>
        <v>61275</v>
      </c>
      <c r="H6" s="160">
        <f t="shared" si="2"/>
        <v>61275</v>
      </c>
      <c r="I6" s="171">
        <v>430</v>
      </c>
      <c r="J6" s="171">
        <v>430</v>
      </c>
      <c r="K6" s="165"/>
      <c r="L6" s="166"/>
    </row>
    <row r="7" spans="1:12" s="109" customFormat="1" ht="28.8" x14ac:dyDescent="0.3">
      <c r="A7" s="8">
        <f t="shared" si="0"/>
        <v>6</v>
      </c>
      <c r="B7" s="172">
        <v>1200003719</v>
      </c>
      <c r="C7" s="172">
        <v>4000006913</v>
      </c>
      <c r="D7" s="173" t="s">
        <v>693</v>
      </c>
      <c r="E7" s="174" t="s">
        <v>345</v>
      </c>
      <c r="F7" s="172">
        <v>1</v>
      </c>
      <c r="G7" s="159">
        <f t="shared" si="1"/>
        <v>65550</v>
      </c>
      <c r="H7" s="160">
        <f t="shared" si="2"/>
        <v>65550</v>
      </c>
      <c r="I7" s="171">
        <v>460</v>
      </c>
      <c r="J7" s="171">
        <v>460</v>
      </c>
      <c r="K7" s="165"/>
      <c r="L7" s="166"/>
    </row>
    <row r="8" spans="1:12" s="109" customFormat="1" ht="28.8" x14ac:dyDescent="0.3">
      <c r="A8" s="8">
        <f t="shared" si="0"/>
        <v>7</v>
      </c>
      <c r="B8" s="172">
        <v>1200003719</v>
      </c>
      <c r="C8" s="172">
        <v>4000006912</v>
      </c>
      <c r="D8" s="173" t="s">
        <v>694</v>
      </c>
      <c r="E8" s="174" t="s">
        <v>345</v>
      </c>
      <c r="F8" s="172">
        <v>1</v>
      </c>
      <c r="G8" s="159">
        <f t="shared" si="1"/>
        <v>65550</v>
      </c>
      <c r="H8" s="160">
        <f t="shared" si="2"/>
        <v>65550</v>
      </c>
      <c r="I8" s="171">
        <v>460</v>
      </c>
      <c r="J8" s="171">
        <v>460</v>
      </c>
      <c r="K8" s="165"/>
      <c r="L8" s="166"/>
    </row>
    <row r="9" spans="1:12" s="109" customFormat="1" ht="28.8" x14ac:dyDescent="0.3">
      <c r="A9" s="8">
        <f t="shared" si="0"/>
        <v>8</v>
      </c>
      <c r="B9" s="172">
        <v>1200003719</v>
      </c>
      <c r="C9" s="172">
        <v>4000006911</v>
      </c>
      <c r="D9" s="173" t="s">
        <v>695</v>
      </c>
      <c r="E9" s="174" t="s">
        <v>345</v>
      </c>
      <c r="F9" s="172">
        <v>1</v>
      </c>
      <c r="G9" s="159">
        <f t="shared" ref="G9:G23" si="3">I9*95*1.5</f>
        <v>65550</v>
      </c>
      <c r="H9" s="160">
        <f t="shared" ref="H9:H23" si="4">G9*F9</f>
        <v>65550</v>
      </c>
      <c r="I9" s="171">
        <v>460</v>
      </c>
      <c r="J9" s="171">
        <v>460</v>
      </c>
      <c r="K9" s="165"/>
      <c r="L9" s="166"/>
    </row>
    <row r="10" spans="1:12" s="109" customFormat="1" ht="28.8" x14ac:dyDescent="0.3">
      <c r="A10" s="8">
        <f t="shared" si="0"/>
        <v>9</v>
      </c>
      <c r="B10" s="172">
        <v>1200003719</v>
      </c>
      <c r="C10" s="172">
        <v>4000006910</v>
      </c>
      <c r="D10" s="173" t="s">
        <v>696</v>
      </c>
      <c r="E10" s="174" t="s">
        <v>345</v>
      </c>
      <c r="F10" s="172">
        <v>1</v>
      </c>
      <c r="G10" s="159">
        <f t="shared" si="3"/>
        <v>65550</v>
      </c>
      <c r="H10" s="160">
        <f t="shared" si="4"/>
        <v>65550</v>
      </c>
      <c r="I10" s="171">
        <v>460</v>
      </c>
      <c r="J10" s="171">
        <v>460</v>
      </c>
      <c r="K10" s="165"/>
      <c r="L10" s="166"/>
    </row>
    <row r="11" spans="1:12" s="109" customFormat="1" ht="28.8" x14ac:dyDescent="0.3">
      <c r="A11" s="8">
        <f t="shared" si="0"/>
        <v>10</v>
      </c>
      <c r="B11" s="172">
        <v>1200003719</v>
      </c>
      <c r="C11" s="172">
        <v>4000006883</v>
      </c>
      <c r="D11" s="173" t="s">
        <v>697</v>
      </c>
      <c r="E11" s="174" t="s">
        <v>345</v>
      </c>
      <c r="F11" s="172">
        <v>1</v>
      </c>
      <c r="G11" s="159">
        <f t="shared" si="3"/>
        <v>66975</v>
      </c>
      <c r="H11" s="160">
        <f t="shared" si="4"/>
        <v>66975</v>
      </c>
      <c r="I11" s="171">
        <v>470</v>
      </c>
      <c r="J11" s="171">
        <v>470</v>
      </c>
      <c r="K11" s="165"/>
      <c r="L11" s="166"/>
    </row>
    <row r="12" spans="1:12" s="109" customFormat="1" ht="28.8" x14ac:dyDescent="0.3">
      <c r="A12" s="8">
        <f t="shared" si="0"/>
        <v>11</v>
      </c>
      <c r="B12" s="172">
        <v>1200003719</v>
      </c>
      <c r="C12" s="172">
        <v>4000020035</v>
      </c>
      <c r="D12" s="173" t="s">
        <v>698</v>
      </c>
      <c r="E12" s="174" t="s">
        <v>346</v>
      </c>
      <c r="F12" s="172">
        <v>139</v>
      </c>
      <c r="G12" s="159">
        <f t="shared" si="3"/>
        <v>1140</v>
      </c>
      <c r="H12" s="160">
        <f t="shared" si="4"/>
        <v>158460</v>
      </c>
      <c r="I12" s="171">
        <v>8</v>
      </c>
      <c r="J12" s="171">
        <v>8</v>
      </c>
      <c r="K12" s="165"/>
      <c r="L12" s="166"/>
    </row>
    <row r="13" spans="1:12" s="109" customFormat="1" ht="28.8" x14ac:dyDescent="0.3">
      <c r="A13" s="8">
        <f t="shared" si="0"/>
        <v>12</v>
      </c>
      <c r="B13" s="172">
        <v>1200003719</v>
      </c>
      <c r="C13" s="172">
        <v>4000020037</v>
      </c>
      <c r="D13" s="173" t="s">
        <v>698</v>
      </c>
      <c r="E13" s="174" t="s">
        <v>346</v>
      </c>
      <c r="F13" s="172">
        <v>10</v>
      </c>
      <c r="G13" s="159">
        <f t="shared" si="3"/>
        <v>1140</v>
      </c>
      <c r="H13" s="160">
        <f t="shared" si="4"/>
        <v>11400</v>
      </c>
      <c r="I13" s="171">
        <v>8</v>
      </c>
      <c r="J13" s="171">
        <v>8</v>
      </c>
      <c r="K13" s="165"/>
      <c r="L13" s="166"/>
    </row>
    <row r="14" spans="1:12" s="109" customFormat="1" ht="28.8" x14ac:dyDescent="0.3">
      <c r="A14" s="8">
        <f t="shared" si="0"/>
        <v>13</v>
      </c>
      <c r="B14" s="172">
        <v>1200003719</v>
      </c>
      <c r="C14" s="172">
        <v>4000006884</v>
      </c>
      <c r="D14" s="173" t="s">
        <v>699</v>
      </c>
      <c r="E14" s="174" t="s">
        <v>345</v>
      </c>
      <c r="F14" s="172">
        <v>1</v>
      </c>
      <c r="G14" s="159">
        <f t="shared" si="3"/>
        <v>75525</v>
      </c>
      <c r="H14" s="160">
        <f t="shared" si="4"/>
        <v>75525</v>
      </c>
      <c r="I14" s="171">
        <v>530</v>
      </c>
      <c r="J14" s="171">
        <v>530</v>
      </c>
      <c r="K14" s="165"/>
      <c r="L14" s="166"/>
    </row>
    <row r="15" spans="1:12" s="109" customFormat="1" ht="28.8" x14ac:dyDescent="0.3">
      <c r="A15" s="8">
        <f t="shared" si="0"/>
        <v>14</v>
      </c>
      <c r="B15" s="172">
        <v>1200003719</v>
      </c>
      <c r="C15" s="172">
        <v>4000006885</v>
      </c>
      <c r="D15" s="173" t="s">
        <v>700</v>
      </c>
      <c r="E15" s="174" t="s">
        <v>345</v>
      </c>
      <c r="F15" s="172">
        <v>1</v>
      </c>
      <c r="G15" s="159">
        <f t="shared" si="3"/>
        <v>75525</v>
      </c>
      <c r="H15" s="160">
        <f t="shared" si="4"/>
        <v>75525</v>
      </c>
      <c r="I15" s="171">
        <v>530</v>
      </c>
      <c r="J15" s="171">
        <v>530</v>
      </c>
      <c r="K15" s="165"/>
      <c r="L15" s="166"/>
    </row>
    <row r="16" spans="1:12" s="109" customFormat="1" ht="28.8" x14ac:dyDescent="0.3">
      <c r="A16" s="8">
        <f t="shared" si="0"/>
        <v>15</v>
      </c>
      <c r="B16" s="172">
        <v>1200003719</v>
      </c>
      <c r="C16" s="172">
        <v>4000006860</v>
      </c>
      <c r="D16" s="173" t="s">
        <v>701</v>
      </c>
      <c r="E16" s="174" t="s">
        <v>345</v>
      </c>
      <c r="F16" s="172">
        <v>1</v>
      </c>
      <c r="G16" s="159">
        <f t="shared" si="3"/>
        <v>75525</v>
      </c>
      <c r="H16" s="160">
        <f t="shared" si="4"/>
        <v>75525</v>
      </c>
      <c r="I16" s="171">
        <v>530</v>
      </c>
      <c r="J16" s="171">
        <v>530</v>
      </c>
      <c r="K16" s="165"/>
      <c r="L16" s="166"/>
    </row>
    <row r="17" spans="1:12" s="109" customFormat="1" ht="28.8" x14ac:dyDescent="0.3">
      <c r="A17" s="8">
        <f t="shared" si="0"/>
        <v>16</v>
      </c>
      <c r="B17" s="172">
        <v>1200003719</v>
      </c>
      <c r="C17" s="172">
        <v>4000006886</v>
      </c>
      <c r="D17" s="173" t="s">
        <v>702</v>
      </c>
      <c r="E17" s="174" t="s">
        <v>345</v>
      </c>
      <c r="F17" s="172">
        <v>1</v>
      </c>
      <c r="G17" s="159">
        <f t="shared" si="3"/>
        <v>75525</v>
      </c>
      <c r="H17" s="160">
        <f t="shared" si="4"/>
        <v>75525</v>
      </c>
      <c r="I17" s="171">
        <v>530</v>
      </c>
      <c r="J17" s="171">
        <v>530</v>
      </c>
      <c r="K17" s="165"/>
      <c r="L17" s="166"/>
    </row>
    <row r="18" spans="1:12" s="109" customFormat="1" ht="28.8" x14ac:dyDescent="0.3">
      <c r="A18" s="8">
        <f t="shared" si="0"/>
        <v>17</v>
      </c>
      <c r="B18" s="172">
        <v>1200003719</v>
      </c>
      <c r="C18" s="172">
        <v>4000006887</v>
      </c>
      <c r="D18" s="173" t="s">
        <v>703</v>
      </c>
      <c r="E18" s="174" t="s">
        <v>345</v>
      </c>
      <c r="F18" s="172">
        <v>1</v>
      </c>
      <c r="G18" s="159">
        <f t="shared" si="3"/>
        <v>75525</v>
      </c>
      <c r="H18" s="160">
        <f t="shared" si="4"/>
        <v>75525</v>
      </c>
      <c r="I18" s="171">
        <v>530</v>
      </c>
      <c r="J18" s="171">
        <v>530</v>
      </c>
      <c r="K18" s="165"/>
      <c r="L18" s="166"/>
    </row>
    <row r="19" spans="1:12" s="109" customFormat="1" ht="28.8" x14ac:dyDescent="0.3">
      <c r="A19" s="8">
        <f t="shared" si="0"/>
        <v>18</v>
      </c>
      <c r="B19" s="172">
        <v>1200003719</v>
      </c>
      <c r="C19" s="172">
        <v>4000006888</v>
      </c>
      <c r="D19" s="173" t="s">
        <v>704</v>
      </c>
      <c r="E19" s="174" t="s">
        <v>345</v>
      </c>
      <c r="F19" s="172">
        <v>1</v>
      </c>
      <c r="G19" s="159">
        <f t="shared" si="3"/>
        <v>75525</v>
      </c>
      <c r="H19" s="160">
        <f t="shared" si="4"/>
        <v>75525</v>
      </c>
      <c r="I19" s="171">
        <v>530</v>
      </c>
      <c r="J19" s="171">
        <v>530</v>
      </c>
      <c r="K19" s="165"/>
      <c r="L19" s="166"/>
    </row>
    <row r="20" spans="1:12" s="109" customFormat="1" ht="28.8" x14ac:dyDescent="0.3">
      <c r="A20" s="8">
        <f t="shared" si="0"/>
        <v>19</v>
      </c>
      <c r="B20" s="172">
        <v>1200003719</v>
      </c>
      <c r="C20" s="172">
        <v>4000020038</v>
      </c>
      <c r="D20" s="173" t="s">
        <v>705</v>
      </c>
      <c r="E20" s="174" t="s">
        <v>346</v>
      </c>
      <c r="F20" s="172">
        <v>1</v>
      </c>
      <c r="G20" s="159">
        <f t="shared" si="3"/>
        <v>712.5</v>
      </c>
      <c r="H20" s="160">
        <f t="shared" si="4"/>
        <v>712.5</v>
      </c>
      <c r="I20" s="171">
        <v>5</v>
      </c>
      <c r="J20" s="171">
        <v>5</v>
      </c>
      <c r="K20" s="165"/>
      <c r="L20" s="166"/>
    </row>
    <row r="21" spans="1:12" s="109" customFormat="1" ht="28.8" x14ac:dyDescent="0.3">
      <c r="A21" s="8">
        <f t="shared" si="0"/>
        <v>20</v>
      </c>
      <c r="B21" s="172">
        <v>1200003719</v>
      </c>
      <c r="C21" s="172">
        <v>4000003688</v>
      </c>
      <c r="D21" s="173" t="s">
        <v>706</v>
      </c>
      <c r="E21" s="174" t="s">
        <v>345</v>
      </c>
      <c r="F21" s="172">
        <v>1</v>
      </c>
      <c r="G21" s="159">
        <f t="shared" si="3"/>
        <v>75525</v>
      </c>
      <c r="H21" s="160">
        <f t="shared" si="4"/>
        <v>75525</v>
      </c>
      <c r="I21" s="171">
        <v>530</v>
      </c>
      <c r="J21" s="171">
        <v>530</v>
      </c>
      <c r="K21" s="165"/>
      <c r="L21" s="166"/>
    </row>
    <row r="22" spans="1:12" s="109" customFormat="1" ht="28.8" x14ac:dyDescent="0.3">
      <c r="A22" s="8">
        <f t="shared" si="0"/>
        <v>21</v>
      </c>
      <c r="B22" s="172">
        <v>1200003719</v>
      </c>
      <c r="C22" s="172">
        <v>4000003689</v>
      </c>
      <c r="D22" s="173" t="s">
        <v>707</v>
      </c>
      <c r="E22" s="174" t="s">
        <v>346</v>
      </c>
      <c r="F22" s="172">
        <v>128</v>
      </c>
      <c r="G22" s="159">
        <f t="shared" si="3"/>
        <v>1140</v>
      </c>
      <c r="H22" s="160">
        <f t="shared" si="4"/>
        <v>145920</v>
      </c>
      <c r="I22" s="171">
        <v>8</v>
      </c>
      <c r="J22" s="171">
        <v>8</v>
      </c>
      <c r="K22" s="165"/>
      <c r="L22" s="166"/>
    </row>
    <row r="23" spans="1:12" s="109" customFormat="1" ht="28.8" x14ac:dyDescent="0.3">
      <c r="A23" s="8">
        <f t="shared" si="0"/>
        <v>22</v>
      </c>
      <c r="B23" s="172">
        <v>1200003719</v>
      </c>
      <c r="C23" s="172">
        <v>4000020039</v>
      </c>
      <c r="D23" s="173" t="s">
        <v>708</v>
      </c>
      <c r="E23" s="174" t="s">
        <v>345</v>
      </c>
      <c r="F23" s="172">
        <v>8</v>
      </c>
      <c r="G23" s="159">
        <f t="shared" si="3"/>
        <v>75525</v>
      </c>
      <c r="H23" s="160">
        <f t="shared" si="4"/>
        <v>604200</v>
      </c>
      <c r="I23" s="171">
        <v>530</v>
      </c>
      <c r="J23" s="171">
        <v>530</v>
      </c>
      <c r="K23" s="165"/>
      <c r="L23" s="166"/>
    </row>
    <row r="24" spans="1:12" s="109" customFormat="1" x14ac:dyDescent="0.3">
      <c r="A24" s="8">
        <f t="shared" si="0"/>
        <v>23</v>
      </c>
      <c r="B24" s="168"/>
      <c r="C24" s="273" t="s">
        <v>154</v>
      </c>
      <c r="D24" s="273"/>
      <c r="E24" s="273"/>
      <c r="F24" s="273"/>
      <c r="G24" s="273"/>
      <c r="H24" s="160">
        <f>SUM(H2:H23)</f>
        <v>2072092.5</v>
      </c>
      <c r="I24" s="164"/>
      <c r="J24" s="167"/>
      <c r="K24" s="165"/>
      <c r="L24" s="166"/>
    </row>
    <row r="25" spans="1:12" x14ac:dyDescent="0.3">
      <c r="A25" s="8">
        <f t="shared" si="0"/>
        <v>24</v>
      </c>
      <c r="B25" s="8"/>
      <c r="C25" s="273" t="s">
        <v>99</v>
      </c>
      <c r="D25" s="273"/>
      <c r="E25" s="273"/>
      <c r="F25" s="273"/>
      <c r="G25" s="273"/>
      <c r="H25" s="161">
        <f>H24*18%</f>
        <v>372976.64999999997</v>
      </c>
      <c r="I25" s="2"/>
      <c r="J25" s="2"/>
      <c r="K25" s="2"/>
    </row>
    <row r="26" spans="1:12" x14ac:dyDescent="0.3">
      <c r="A26" s="8">
        <f t="shared" si="0"/>
        <v>25</v>
      </c>
      <c r="B26" s="8"/>
      <c r="C26" s="273" t="s">
        <v>9</v>
      </c>
      <c r="D26" s="273"/>
      <c r="E26" s="273"/>
      <c r="F26" s="273"/>
      <c r="G26" s="273"/>
      <c r="H26" s="161">
        <f>SUM(H24:H25)</f>
        <v>2445069.15</v>
      </c>
      <c r="I26" s="2"/>
      <c r="J26" s="2"/>
      <c r="K26" s="2"/>
    </row>
    <row r="27" spans="1:12" s="6" customFormat="1" ht="141" customHeight="1" x14ac:dyDescent="0.3">
      <c r="A27" s="162" t="s">
        <v>570</v>
      </c>
      <c r="B27" s="272" t="s">
        <v>571</v>
      </c>
      <c r="C27" s="272"/>
      <c r="D27" s="272"/>
      <c r="E27" s="272"/>
      <c r="F27" s="272"/>
      <c r="G27" s="272"/>
      <c r="H27" s="272"/>
      <c r="I27" s="12"/>
      <c r="J27" s="2"/>
    </row>
  </sheetData>
  <mergeCells count="4">
    <mergeCell ref="C24:G24"/>
    <mergeCell ref="C25:G25"/>
    <mergeCell ref="C26:G26"/>
    <mergeCell ref="B27:H27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D389B-3CD0-466C-97F2-9823428DB5A0}">
  <dimension ref="A1:M85"/>
  <sheetViews>
    <sheetView zoomScaleNormal="100" workbookViewId="0">
      <selection activeCell="A2" sqref="A2"/>
    </sheetView>
  </sheetViews>
  <sheetFormatPr defaultColWidth="9.109375" defaultRowHeight="13.8" x14ac:dyDescent="0.3"/>
  <cols>
    <col min="1" max="1" width="6.109375" style="13" customWidth="1"/>
    <col min="2" max="2" width="14.5546875" style="13" bestFit="1" customWidth="1"/>
    <col min="3" max="3" width="16.88671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10" width="13.33203125" style="112" bestFit="1" customWidth="1"/>
    <col min="11" max="11" width="18.6640625" style="112" bestFit="1" customWidth="1"/>
    <col min="12" max="12" width="13.44140625" style="14" bestFit="1" customWidth="1"/>
    <col min="13" max="13" width="13.6640625" style="14" bestFit="1" customWidth="1"/>
    <col min="14" max="16384" width="9.109375" style="14"/>
  </cols>
  <sheetData>
    <row r="1" spans="1:12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/>
    </row>
    <row r="2" spans="1:12" s="109" customFormat="1" ht="28.8" x14ac:dyDescent="0.3">
      <c r="A2" s="8">
        <f t="shared" ref="A2:A84" si="0">ROW()-1</f>
        <v>1</v>
      </c>
      <c r="B2" s="172">
        <v>1200003722</v>
      </c>
      <c r="C2" s="172">
        <v>4000005889</v>
      </c>
      <c r="D2" s="173" t="s">
        <v>709</v>
      </c>
      <c r="E2" s="174" t="s">
        <v>346</v>
      </c>
      <c r="F2" s="172">
        <v>2</v>
      </c>
      <c r="G2" s="159">
        <f t="shared" ref="G2:G23" si="1">I2*95*1.5</f>
        <v>44175</v>
      </c>
      <c r="H2" s="160">
        <f t="shared" ref="H2:H23" si="2">G2*F2</f>
        <v>88350</v>
      </c>
      <c r="I2" s="171">
        <v>310</v>
      </c>
      <c r="J2" s="171">
        <v>310</v>
      </c>
      <c r="K2" s="165"/>
      <c r="L2" s="166"/>
    </row>
    <row r="3" spans="1:12" s="109" customFormat="1" ht="28.8" x14ac:dyDescent="0.3">
      <c r="A3" s="8">
        <f t="shared" si="0"/>
        <v>2</v>
      </c>
      <c r="B3" s="172">
        <v>1200003722</v>
      </c>
      <c r="C3" s="172">
        <v>4000005890</v>
      </c>
      <c r="D3" s="173" t="s">
        <v>710</v>
      </c>
      <c r="E3" s="174" t="s">
        <v>346</v>
      </c>
      <c r="F3" s="172">
        <v>4</v>
      </c>
      <c r="G3" s="159">
        <f t="shared" si="1"/>
        <v>115425</v>
      </c>
      <c r="H3" s="160">
        <f t="shared" si="2"/>
        <v>461700</v>
      </c>
      <c r="I3" s="171">
        <v>810</v>
      </c>
      <c r="J3" s="171">
        <v>810</v>
      </c>
      <c r="K3" s="165"/>
      <c r="L3" s="166"/>
    </row>
    <row r="4" spans="1:12" s="109" customFormat="1" ht="28.8" x14ac:dyDescent="0.3">
      <c r="A4" s="8">
        <f t="shared" si="0"/>
        <v>3</v>
      </c>
      <c r="B4" s="172">
        <v>1200003722</v>
      </c>
      <c r="C4" s="172">
        <v>4000005891</v>
      </c>
      <c r="D4" s="173" t="s">
        <v>711</v>
      </c>
      <c r="E4" s="174" t="s">
        <v>346</v>
      </c>
      <c r="F4" s="172">
        <v>2</v>
      </c>
      <c r="G4" s="159">
        <f t="shared" si="1"/>
        <v>27075</v>
      </c>
      <c r="H4" s="160">
        <f t="shared" si="2"/>
        <v>54150</v>
      </c>
      <c r="I4" s="171">
        <v>190</v>
      </c>
      <c r="J4" s="171">
        <v>190</v>
      </c>
      <c r="K4" s="165"/>
      <c r="L4" s="166"/>
    </row>
    <row r="5" spans="1:12" s="109" customFormat="1" ht="28.8" x14ac:dyDescent="0.3">
      <c r="A5" s="8">
        <f t="shared" si="0"/>
        <v>4</v>
      </c>
      <c r="B5" s="172">
        <v>1200003722</v>
      </c>
      <c r="C5" s="172">
        <v>4000005892</v>
      </c>
      <c r="D5" s="173" t="s">
        <v>712</v>
      </c>
      <c r="E5" s="174" t="s">
        <v>346</v>
      </c>
      <c r="F5" s="172">
        <v>2</v>
      </c>
      <c r="G5" s="159">
        <f t="shared" si="1"/>
        <v>54150</v>
      </c>
      <c r="H5" s="160">
        <f t="shared" si="2"/>
        <v>108300</v>
      </c>
      <c r="I5" s="171">
        <v>380</v>
      </c>
      <c r="J5" s="171">
        <v>380</v>
      </c>
      <c r="K5" s="165"/>
      <c r="L5" s="166"/>
    </row>
    <row r="6" spans="1:12" s="109" customFormat="1" ht="28.8" x14ac:dyDescent="0.3">
      <c r="A6" s="8">
        <f t="shared" si="0"/>
        <v>5</v>
      </c>
      <c r="B6" s="172">
        <v>1200003722</v>
      </c>
      <c r="C6" s="172">
        <v>4000005893</v>
      </c>
      <c r="D6" s="173" t="s">
        <v>713</v>
      </c>
      <c r="E6" s="174" t="s">
        <v>346</v>
      </c>
      <c r="F6" s="172">
        <v>2</v>
      </c>
      <c r="G6" s="159">
        <f t="shared" si="1"/>
        <v>42750</v>
      </c>
      <c r="H6" s="160">
        <f t="shared" si="2"/>
        <v>85500</v>
      </c>
      <c r="I6" s="171">
        <v>300</v>
      </c>
      <c r="J6" s="171">
        <v>300</v>
      </c>
      <c r="K6" s="165"/>
      <c r="L6" s="166"/>
    </row>
    <row r="7" spans="1:12" s="109" customFormat="1" ht="28.8" x14ac:dyDescent="0.3">
      <c r="A7" s="8">
        <f t="shared" si="0"/>
        <v>6</v>
      </c>
      <c r="B7" s="172">
        <v>1200003722</v>
      </c>
      <c r="C7" s="172">
        <v>4000020041</v>
      </c>
      <c r="D7" s="173" t="s">
        <v>714</v>
      </c>
      <c r="E7" s="174" t="s">
        <v>345</v>
      </c>
      <c r="F7" s="172">
        <v>4</v>
      </c>
      <c r="G7" s="159">
        <f t="shared" si="1"/>
        <v>84075</v>
      </c>
      <c r="H7" s="160">
        <f t="shared" si="2"/>
        <v>336300</v>
      </c>
      <c r="I7" s="171">
        <v>590</v>
      </c>
      <c r="J7" s="171">
        <v>590</v>
      </c>
      <c r="K7" s="165"/>
      <c r="L7" s="166"/>
    </row>
    <row r="8" spans="1:12" s="109" customFormat="1" ht="28.8" x14ac:dyDescent="0.3">
      <c r="A8" s="8">
        <f t="shared" si="0"/>
        <v>7</v>
      </c>
      <c r="B8" s="172">
        <v>1200003722</v>
      </c>
      <c r="C8" s="172">
        <v>4000020042</v>
      </c>
      <c r="D8" s="173" t="s">
        <v>715</v>
      </c>
      <c r="E8" s="174" t="s">
        <v>346</v>
      </c>
      <c r="F8" s="172">
        <v>4</v>
      </c>
      <c r="G8" s="159">
        <f t="shared" si="1"/>
        <v>14250</v>
      </c>
      <c r="H8" s="160">
        <f t="shared" si="2"/>
        <v>57000</v>
      </c>
      <c r="I8" s="171">
        <v>100</v>
      </c>
      <c r="J8" s="171">
        <v>100</v>
      </c>
      <c r="K8" s="165"/>
      <c r="L8" s="166"/>
    </row>
    <row r="9" spans="1:12" s="109" customFormat="1" ht="28.8" x14ac:dyDescent="0.3">
      <c r="A9" s="8">
        <f t="shared" si="0"/>
        <v>8</v>
      </c>
      <c r="B9" s="172">
        <v>1200003722</v>
      </c>
      <c r="C9" s="172">
        <v>4000020042</v>
      </c>
      <c r="D9" s="173" t="s">
        <v>716</v>
      </c>
      <c r="E9" s="174" t="s">
        <v>346</v>
      </c>
      <c r="F9" s="172">
        <v>4</v>
      </c>
      <c r="G9" s="159">
        <f t="shared" si="1"/>
        <v>14250</v>
      </c>
      <c r="H9" s="160">
        <f t="shared" si="2"/>
        <v>57000</v>
      </c>
      <c r="I9" s="171">
        <v>100</v>
      </c>
      <c r="J9" s="171">
        <v>100</v>
      </c>
      <c r="K9" s="165"/>
      <c r="L9" s="166"/>
    </row>
    <row r="10" spans="1:12" s="109" customFormat="1" ht="28.8" x14ac:dyDescent="0.3">
      <c r="A10" s="8">
        <f t="shared" si="0"/>
        <v>9</v>
      </c>
      <c r="B10" s="172">
        <v>1200003722</v>
      </c>
      <c r="C10" s="172">
        <v>4000001544</v>
      </c>
      <c r="D10" s="173" t="s">
        <v>717</v>
      </c>
      <c r="E10" s="174" t="s">
        <v>346</v>
      </c>
      <c r="F10" s="172">
        <v>8</v>
      </c>
      <c r="G10" s="159">
        <f t="shared" si="1"/>
        <v>7125</v>
      </c>
      <c r="H10" s="160">
        <f t="shared" si="2"/>
        <v>57000</v>
      </c>
      <c r="I10" s="171">
        <v>50</v>
      </c>
      <c r="J10" s="171">
        <v>50</v>
      </c>
      <c r="K10" s="165"/>
      <c r="L10" s="166"/>
    </row>
    <row r="11" spans="1:12" s="109" customFormat="1" ht="28.8" x14ac:dyDescent="0.3">
      <c r="A11" s="8">
        <f t="shared" si="0"/>
        <v>10</v>
      </c>
      <c r="B11" s="172">
        <v>1200003722</v>
      </c>
      <c r="C11" s="172">
        <v>4000020044</v>
      </c>
      <c r="D11" s="173" t="s">
        <v>718</v>
      </c>
      <c r="E11" s="174" t="s">
        <v>346</v>
      </c>
      <c r="F11" s="172">
        <v>2</v>
      </c>
      <c r="G11" s="159">
        <f t="shared" si="1"/>
        <v>22800</v>
      </c>
      <c r="H11" s="160">
        <f t="shared" si="2"/>
        <v>45600</v>
      </c>
      <c r="I11" s="171">
        <v>160</v>
      </c>
      <c r="J11" s="171">
        <v>160</v>
      </c>
      <c r="K11" s="165"/>
      <c r="L11" s="166"/>
    </row>
    <row r="12" spans="1:12" s="109" customFormat="1" ht="43.2" x14ac:dyDescent="0.3">
      <c r="A12" s="8">
        <f t="shared" si="0"/>
        <v>11</v>
      </c>
      <c r="B12" s="172">
        <v>1200003722</v>
      </c>
      <c r="C12" s="172">
        <v>4000020045</v>
      </c>
      <c r="D12" s="173" t="s">
        <v>719</v>
      </c>
      <c r="E12" s="174" t="s">
        <v>346</v>
      </c>
      <c r="F12" s="172">
        <v>6</v>
      </c>
      <c r="G12" s="159">
        <f t="shared" si="1"/>
        <v>19950</v>
      </c>
      <c r="H12" s="160">
        <f t="shared" si="2"/>
        <v>119700</v>
      </c>
      <c r="I12" s="171">
        <v>140</v>
      </c>
      <c r="J12" s="171">
        <v>140</v>
      </c>
      <c r="K12" s="165"/>
      <c r="L12" s="166"/>
    </row>
    <row r="13" spans="1:12" s="109" customFormat="1" ht="28.8" x14ac:dyDescent="0.3">
      <c r="A13" s="8">
        <f t="shared" si="0"/>
        <v>12</v>
      </c>
      <c r="B13" s="172">
        <v>1200003722</v>
      </c>
      <c r="C13" s="172">
        <v>4000001541</v>
      </c>
      <c r="D13" s="173" t="s">
        <v>720</v>
      </c>
      <c r="E13" s="174" t="s">
        <v>346</v>
      </c>
      <c r="F13" s="172">
        <v>2</v>
      </c>
      <c r="G13" s="159">
        <f t="shared" si="1"/>
        <v>6412.5</v>
      </c>
      <c r="H13" s="160">
        <f t="shared" si="2"/>
        <v>12825</v>
      </c>
      <c r="I13" s="171">
        <v>45</v>
      </c>
      <c r="J13" s="171">
        <v>45</v>
      </c>
      <c r="K13" s="165"/>
      <c r="L13" s="166"/>
    </row>
    <row r="14" spans="1:12" s="109" customFormat="1" ht="43.2" x14ac:dyDescent="0.3">
      <c r="A14" s="8">
        <f t="shared" si="0"/>
        <v>13</v>
      </c>
      <c r="B14" s="172">
        <v>1200003722</v>
      </c>
      <c r="C14" s="172">
        <v>4000020046</v>
      </c>
      <c r="D14" s="173" t="s">
        <v>721</v>
      </c>
      <c r="E14" s="174" t="s">
        <v>346</v>
      </c>
      <c r="F14" s="172">
        <v>6</v>
      </c>
      <c r="G14" s="159">
        <f t="shared" si="1"/>
        <v>6412.5</v>
      </c>
      <c r="H14" s="160">
        <f t="shared" si="2"/>
        <v>38475</v>
      </c>
      <c r="I14" s="171">
        <v>45</v>
      </c>
      <c r="J14" s="171">
        <v>45</v>
      </c>
      <c r="K14" s="165"/>
      <c r="L14" s="166"/>
    </row>
    <row r="15" spans="1:12" s="109" customFormat="1" ht="28.8" x14ac:dyDescent="0.3">
      <c r="A15" s="8">
        <f t="shared" si="0"/>
        <v>14</v>
      </c>
      <c r="B15" s="172">
        <v>1200003722</v>
      </c>
      <c r="C15" s="172">
        <v>4000001542</v>
      </c>
      <c r="D15" s="173" t="s">
        <v>722</v>
      </c>
      <c r="E15" s="174" t="s">
        <v>346</v>
      </c>
      <c r="F15" s="172">
        <v>2</v>
      </c>
      <c r="G15" s="159">
        <f t="shared" si="1"/>
        <v>7125</v>
      </c>
      <c r="H15" s="160">
        <f t="shared" si="2"/>
        <v>14250</v>
      </c>
      <c r="I15" s="171">
        <v>50</v>
      </c>
      <c r="J15" s="171">
        <v>50</v>
      </c>
      <c r="K15" s="165"/>
      <c r="L15" s="166"/>
    </row>
    <row r="16" spans="1:12" s="109" customFormat="1" ht="43.2" x14ac:dyDescent="0.3">
      <c r="A16" s="8">
        <f t="shared" si="0"/>
        <v>15</v>
      </c>
      <c r="B16" s="172">
        <v>1200003722</v>
      </c>
      <c r="C16" s="172">
        <v>4000020047</v>
      </c>
      <c r="D16" s="173" t="s">
        <v>723</v>
      </c>
      <c r="E16" s="174" t="s">
        <v>346</v>
      </c>
      <c r="F16" s="172">
        <v>5</v>
      </c>
      <c r="G16" s="159">
        <f t="shared" si="1"/>
        <v>7125</v>
      </c>
      <c r="H16" s="160">
        <f t="shared" si="2"/>
        <v>35625</v>
      </c>
      <c r="I16" s="171">
        <v>50</v>
      </c>
      <c r="J16" s="171">
        <v>50</v>
      </c>
      <c r="K16" s="165"/>
      <c r="L16" s="166"/>
    </row>
    <row r="17" spans="1:12" s="109" customFormat="1" ht="43.2" x14ac:dyDescent="0.3">
      <c r="A17" s="8">
        <f t="shared" si="0"/>
        <v>16</v>
      </c>
      <c r="B17" s="172">
        <v>1200003722</v>
      </c>
      <c r="C17" s="172">
        <v>4000020048</v>
      </c>
      <c r="D17" s="173" t="s">
        <v>724</v>
      </c>
      <c r="E17" s="174" t="s">
        <v>346</v>
      </c>
      <c r="F17" s="172">
        <v>2</v>
      </c>
      <c r="G17" s="159">
        <f t="shared" si="1"/>
        <v>3562.5</v>
      </c>
      <c r="H17" s="160">
        <f t="shared" si="2"/>
        <v>7125</v>
      </c>
      <c r="I17" s="171">
        <v>25</v>
      </c>
      <c r="J17" s="171">
        <v>25</v>
      </c>
      <c r="K17" s="165"/>
      <c r="L17" s="166"/>
    </row>
    <row r="18" spans="1:12" s="109" customFormat="1" ht="28.8" x14ac:dyDescent="0.3">
      <c r="A18" s="8">
        <f t="shared" si="0"/>
        <v>17</v>
      </c>
      <c r="B18" s="172">
        <v>1200003722</v>
      </c>
      <c r="C18" s="172">
        <v>4000000985</v>
      </c>
      <c r="D18" s="173" t="s">
        <v>725</v>
      </c>
      <c r="E18" s="174" t="s">
        <v>346</v>
      </c>
      <c r="F18" s="172">
        <v>4</v>
      </c>
      <c r="G18" s="159">
        <f t="shared" si="1"/>
        <v>2137.5</v>
      </c>
      <c r="H18" s="160">
        <f t="shared" si="2"/>
        <v>8550</v>
      </c>
      <c r="I18" s="171">
        <v>15</v>
      </c>
      <c r="J18" s="171">
        <v>15</v>
      </c>
      <c r="K18" s="165"/>
      <c r="L18" s="166"/>
    </row>
    <row r="19" spans="1:12" s="109" customFormat="1" ht="43.2" x14ac:dyDescent="0.3">
      <c r="A19" s="8">
        <f t="shared" si="0"/>
        <v>18</v>
      </c>
      <c r="B19" s="172">
        <v>1200003722</v>
      </c>
      <c r="C19" s="172">
        <v>4000020082</v>
      </c>
      <c r="D19" s="173" t="s">
        <v>726</v>
      </c>
      <c r="E19" s="174" t="s">
        <v>346</v>
      </c>
      <c r="F19" s="172">
        <v>8</v>
      </c>
      <c r="G19" s="159">
        <f t="shared" si="1"/>
        <v>2137.5</v>
      </c>
      <c r="H19" s="160">
        <f t="shared" si="2"/>
        <v>17100</v>
      </c>
      <c r="I19" s="171">
        <v>15</v>
      </c>
      <c r="J19" s="171">
        <v>15</v>
      </c>
      <c r="K19" s="165"/>
      <c r="L19" s="166"/>
    </row>
    <row r="20" spans="1:12" s="109" customFormat="1" ht="43.2" x14ac:dyDescent="0.3">
      <c r="A20" s="8">
        <f t="shared" si="0"/>
        <v>19</v>
      </c>
      <c r="B20" s="172">
        <v>1200003722</v>
      </c>
      <c r="C20" s="172">
        <v>4000020051</v>
      </c>
      <c r="D20" s="173" t="s">
        <v>727</v>
      </c>
      <c r="E20" s="174" t="s">
        <v>346</v>
      </c>
      <c r="F20" s="172">
        <v>7</v>
      </c>
      <c r="G20" s="159">
        <f t="shared" si="1"/>
        <v>7125</v>
      </c>
      <c r="H20" s="160">
        <f t="shared" si="2"/>
        <v>49875</v>
      </c>
      <c r="I20" s="171">
        <v>50</v>
      </c>
      <c r="J20" s="171">
        <v>50</v>
      </c>
      <c r="K20" s="165"/>
      <c r="L20" s="166"/>
    </row>
    <row r="21" spans="1:12" s="109" customFormat="1" ht="43.2" x14ac:dyDescent="0.3">
      <c r="A21" s="8">
        <f t="shared" si="0"/>
        <v>20</v>
      </c>
      <c r="B21" s="172">
        <v>1200003722</v>
      </c>
      <c r="C21" s="172">
        <v>4000020052</v>
      </c>
      <c r="D21" s="173" t="s">
        <v>728</v>
      </c>
      <c r="E21" s="174" t="s">
        <v>346</v>
      </c>
      <c r="F21" s="172">
        <v>9</v>
      </c>
      <c r="G21" s="159">
        <f t="shared" si="1"/>
        <v>1425</v>
      </c>
      <c r="H21" s="160">
        <f t="shared" si="2"/>
        <v>12825</v>
      </c>
      <c r="I21" s="171">
        <v>10</v>
      </c>
      <c r="J21" s="171">
        <v>10</v>
      </c>
      <c r="K21" s="165"/>
      <c r="L21" s="166"/>
    </row>
    <row r="22" spans="1:12" s="109" customFormat="1" ht="43.2" x14ac:dyDescent="0.3">
      <c r="A22" s="8">
        <f t="shared" si="0"/>
        <v>21</v>
      </c>
      <c r="B22" s="172">
        <v>1200003722</v>
      </c>
      <c r="C22" s="172">
        <v>4000020053</v>
      </c>
      <c r="D22" s="173" t="s">
        <v>729</v>
      </c>
      <c r="E22" s="174" t="s">
        <v>346</v>
      </c>
      <c r="F22" s="172">
        <v>4</v>
      </c>
      <c r="G22" s="159">
        <f t="shared" si="1"/>
        <v>1425</v>
      </c>
      <c r="H22" s="160">
        <f t="shared" si="2"/>
        <v>5700</v>
      </c>
      <c r="I22" s="171">
        <v>10</v>
      </c>
      <c r="J22" s="171">
        <v>10</v>
      </c>
      <c r="K22" s="165"/>
      <c r="L22" s="166"/>
    </row>
    <row r="23" spans="1:12" s="109" customFormat="1" ht="28.8" x14ac:dyDescent="0.3">
      <c r="A23" s="8">
        <f t="shared" si="0"/>
        <v>22</v>
      </c>
      <c r="B23" s="172">
        <v>1200003722</v>
      </c>
      <c r="C23" s="172">
        <v>4000000987</v>
      </c>
      <c r="D23" s="173" t="s">
        <v>730</v>
      </c>
      <c r="E23" s="174" t="s">
        <v>346</v>
      </c>
      <c r="F23" s="172">
        <v>6</v>
      </c>
      <c r="G23" s="159">
        <f t="shared" si="1"/>
        <v>1425</v>
      </c>
      <c r="H23" s="160">
        <f t="shared" si="2"/>
        <v>8550</v>
      </c>
      <c r="I23" s="171">
        <v>10</v>
      </c>
      <c r="J23" s="171">
        <v>10</v>
      </c>
      <c r="K23" s="165"/>
      <c r="L23" s="166"/>
    </row>
    <row r="24" spans="1:12" s="109" customFormat="1" ht="28.8" x14ac:dyDescent="0.3">
      <c r="A24" s="8">
        <f t="shared" si="0"/>
        <v>23</v>
      </c>
      <c r="B24" s="172">
        <v>1200003722</v>
      </c>
      <c r="C24" s="172">
        <v>4000000988</v>
      </c>
      <c r="D24" s="173" t="s">
        <v>731</v>
      </c>
      <c r="E24" s="174" t="s">
        <v>346</v>
      </c>
      <c r="F24" s="172">
        <v>8</v>
      </c>
      <c r="G24" s="159">
        <f t="shared" ref="G24:G81" si="3">I24*95*1.5</f>
        <v>1425</v>
      </c>
      <c r="H24" s="160">
        <f t="shared" ref="H24:H81" si="4">G24*F24</f>
        <v>11400</v>
      </c>
      <c r="I24" s="171">
        <v>10</v>
      </c>
      <c r="J24" s="171">
        <v>10</v>
      </c>
      <c r="K24" s="165"/>
      <c r="L24" s="166"/>
    </row>
    <row r="25" spans="1:12" s="109" customFormat="1" ht="28.8" x14ac:dyDescent="0.3">
      <c r="A25" s="8">
        <f t="shared" si="0"/>
        <v>24</v>
      </c>
      <c r="B25" s="172">
        <v>1200003722</v>
      </c>
      <c r="C25" s="172">
        <v>4000003729</v>
      </c>
      <c r="D25" s="173" t="s">
        <v>732</v>
      </c>
      <c r="E25" s="174" t="s">
        <v>346</v>
      </c>
      <c r="F25" s="172">
        <v>10</v>
      </c>
      <c r="G25" s="159">
        <f t="shared" si="3"/>
        <v>2137.5</v>
      </c>
      <c r="H25" s="160">
        <f t="shared" si="4"/>
        <v>21375</v>
      </c>
      <c r="I25" s="171">
        <v>15</v>
      </c>
      <c r="J25" s="171">
        <v>15</v>
      </c>
      <c r="K25" s="165"/>
      <c r="L25" s="166"/>
    </row>
    <row r="26" spans="1:12" s="109" customFormat="1" ht="28.8" x14ac:dyDescent="0.3">
      <c r="A26" s="8">
        <f t="shared" si="0"/>
        <v>25</v>
      </c>
      <c r="B26" s="172">
        <v>1200003722</v>
      </c>
      <c r="C26" s="172">
        <v>4000018812</v>
      </c>
      <c r="D26" s="173" t="s">
        <v>733</v>
      </c>
      <c r="E26" s="174" t="s">
        <v>346</v>
      </c>
      <c r="F26" s="172">
        <v>4</v>
      </c>
      <c r="G26" s="159">
        <f t="shared" si="3"/>
        <v>4275</v>
      </c>
      <c r="H26" s="160">
        <f t="shared" si="4"/>
        <v>17100</v>
      </c>
      <c r="I26" s="171">
        <v>30</v>
      </c>
      <c r="J26" s="171">
        <v>30</v>
      </c>
      <c r="K26" s="165"/>
      <c r="L26" s="166"/>
    </row>
    <row r="27" spans="1:12" s="109" customFormat="1" ht="43.2" x14ac:dyDescent="0.3">
      <c r="A27" s="8">
        <f t="shared" si="0"/>
        <v>26</v>
      </c>
      <c r="B27" s="172">
        <v>1200003722</v>
      </c>
      <c r="C27" s="172">
        <v>4000020054</v>
      </c>
      <c r="D27" s="173" t="s">
        <v>734</v>
      </c>
      <c r="E27" s="174" t="s">
        <v>346</v>
      </c>
      <c r="F27" s="172">
        <v>10</v>
      </c>
      <c r="G27" s="159">
        <f t="shared" si="3"/>
        <v>3562.5</v>
      </c>
      <c r="H27" s="160">
        <f t="shared" si="4"/>
        <v>35625</v>
      </c>
      <c r="I27" s="171">
        <v>25</v>
      </c>
      <c r="J27" s="171">
        <v>25</v>
      </c>
      <c r="K27" s="165"/>
      <c r="L27" s="166"/>
    </row>
    <row r="28" spans="1:12" s="109" customFormat="1" ht="28.8" x14ac:dyDescent="0.3">
      <c r="A28" s="8">
        <f t="shared" si="0"/>
        <v>27</v>
      </c>
      <c r="B28" s="172">
        <v>1200003722</v>
      </c>
      <c r="C28" s="172">
        <v>4000003579</v>
      </c>
      <c r="D28" s="173" t="s">
        <v>735</v>
      </c>
      <c r="E28" s="174" t="s">
        <v>346</v>
      </c>
      <c r="F28" s="172">
        <v>10</v>
      </c>
      <c r="G28" s="159">
        <f t="shared" si="3"/>
        <v>4987.5</v>
      </c>
      <c r="H28" s="160">
        <f t="shared" si="4"/>
        <v>49875</v>
      </c>
      <c r="I28" s="171">
        <v>35</v>
      </c>
      <c r="J28" s="171">
        <v>35</v>
      </c>
      <c r="K28" s="165"/>
      <c r="L28" s="166"/>
    </row>
    <row r="29" spans="1:12" s="109" customFormat="1" ht="28.8" x14ac:dyDescent="0.3">
      <c r="A29" s="8">
        <f t="shared" si="0"/>
        <v>28</v>
      </c>
      <c r="B29" s="172">
        <v>1200003722</v>
      </c>
      <c r="C29" s="172">
        <v>4000018124</v>
      </c>
      <c r="D29" s="173" t="s">
        <v>736</v>
      </c>
      <c r="E29" s="174" t="s">
        <v>346</v>
      </c>
      <c r="F29" s="172">
        <v>10</v>
      </c>
      <c r="G29" s="159">
        <f t="shared" si="3"/>
        <v>712.5</v>
      </c>
      <c r="H29" s="160">
        <f t="shared" si="4"/>
        <v>7125</v>
      </c>
      <c r="I29" s="171">
        <v>5</v>
      </c>
      <c r="J29" s="171">
        <v>5</v>
      </c>
      <c r="K29" s="165"/>
      <c r="L29" s="166"/>
    </row>
    <row r="30" spans="1:12" s="109" customFormat="1" ht="28.8" x14ac:dyDescent="0.3">
      <c r="A30" s="8">
        <f t="shared" si="0"/>
        <v>29</v>
      </c>
      <c r="B30" s="172">
        <v>1200003722</v>
      </c>
      <c r="C30" s="172">
        <v>4000018103</v>
      </c>
      <c r="D30" s="173" t="s">
        <v>737</v>
      </c>
      <c r="E30" s="174" t="s">
        <v>346</v>
      </c>
      <c r="F30" s="172">
        <v>10</v>
      </c>
      <c r="G30" s="159">
        <f t="shared" si="3"/>
        <v>1425</v>
      </c>
      <c r="H30" s="160">
        <f t="shared" si="4"/>
        <v>14250</v>
      </c>
      <c r="I30" s="171">
        <v>10</v>
      </c>
      <c r="J30" s="171">
        <v>10</v>
      </c>
      <c r="K30" s="165"/>
      <c r="L30" s="166"/>
    </row>
    <row r="31" spans="1:12" s="109" customFormat="1" ht="28.8" x14ac:dyDescent="0.3">
      <c r="A31" s="8">
        <f t="shared" si="0"/>
        <v>30</v>
      </c>
      <c r="B31" s="172">
        <v>1200003722</v>
      </c>
      <c r="C31" s="172">
        <v>4000018814</v>
      </c>
      <c r="D31" s="173" t="s">
        <v>738</v>
      </c>
      <c r="E31" s="174" t="s">
        <v>346</v>
      </c>
      <c r="F31" s="172">
        <v>2</v>
      </c>
      <c r="G31" s="159">
        <f t="shared" si="3"/>
        <v>1425</v>
      </c>
      <c r="H31" s="160">
        <f t="shared" si="4"/>
        <v>2850</v>
      </c>
      <c r="I31" s="171">
        <v>10</v>
      </c>
      <c r="J31" s="171">
        <v>10</v>
      </c>
      <c r="K31" s="165"/>
      <c r="L31" s="166"/>
    </row>
    <row r="32" spans="1:12" s="109" customFormat="1" ht="28.8" x14ac:dyDescent="0.3">
      <c r="A32" s="8">
        <f t="shared" si="0"/>
        <v>31</v>
      </c>
      <c r="B32" s="172">
        <v>1200003722</v>
      </c>
      <c r="C32" s="172">
        <v>4000018114</v>
      </c>
      <c r="D32" s="173" t="s">
        <v>739</v>
      </c>
      <c r="E32" s="174" t="s">
        <v>346</v>
      </c>
      <c r="F32" s="172">
        <v>10</v>
      </c>
      <c r="G32" s="159">
        <f t="shared" si="3"/>
        <v>1425</v>
      </c>
      <c r="H32" s="160">
        <f t="shared" si="4"/>
        <v>14250</v>
      </c>
      <c r="I32" s="171">
        <v>10</v>
      </c>
      <c r="J32" s="171">
        <v>10</v>
      </c>
      <c r="K32" s="165"/>
      <c r="L32" s="166"/>
    </row>
    <row r="33" spans="1:12" s="109" customFormat="1" ht="28.8" x14ac:dyDescent="0.3">
      <c r="A33" s="8">
        <f t="shared" si="0"/>
        <v>32</v>
      </c>
      <c r="B33" s="172">
        <v>1200003722</v>
      </c>
      <c r="C33" s="172">
        <v>4000018810</v>
      </c>
      <c r="D33" s="173" t="s">
        <v>740</v>
      </c>
      <c r="E33" s="174" t="s">
        <v>346</v>
      </c>
      <c r="F33" s="172">
        <v>20</v>
      </c>
      <c r="G33" s="159">
        <f t="shared" si="3"/>
        <v>1425</v>
      </c>
      <c r="H33" s="160">
        <f t="shared" si="4"/>
        <v>28500</v>
      </c>
      <c r="I33" s="171">
        <v>10</v>
      </c>
      <c r="J33" s="171">
        <v>10</v>
      </c>
      <c r="K33" s="165"/>
      <c r="L33" s="166"/>
    </row>
    <row r="34" spans="1:12" s="109" customFormat="1" ht="28.8" x14ac:dyDescent="0.3">
      <c r="A34" s="8">
        <f t="shared" si="0"/>
        <v>33</v>
      </c>
      <c r="B34" s="172">
        <v>1200003722</v>
      </c>
      <c r="C34" s="172">
        <v>4000020055</v>
      </c>
      <c r="D34" s="173" t="s">
        <v>741</v>
      </c>
      <c r="E34" s="174" t="s">
        <v>346</v>
      </c>
      <c r="F34" s="172">
        <v>2</v>
      </c>
      <c r="G34" s="159">
        <f t="shared" si="3"/>
        <v>2137.5</v>
      </c>
      <c r="H34" s="160">
        <f t="shared" si="4"/>
        <v>4275</v>
      </c>
      <c r="I34" s="171">
        <v>15</v>
      </c>
      <c r="J34" s="171">
        <v>15</v>
      </c>
      <c r="K34" s="165"/>
      <c r="L34" s="166"/>
    </row>
    <row r="35" spans="1:12" s="109" customFormat="1" ht="28.8" x14ac:dyDescent="0.3">
      <c r="A35" s="8">
        <f t="shared" si="0"/>
        <v>34</v>
      </c>
      <c r="B35" s="172">
        <v>1200003722</v>
      </c>
      <c r="C35" s="172">
        <v>4000020056</v>
      </c>
      <c r="D35" s="173" t="s">
        <v>742</v>
      </c>
      <c r="E35" s="174" t="s">
        <v>346</v>
      </c>
      <c r="F35" s="172">
        <v>2</v>
      </c>
      <c r="G35" s="159">
        <f t="shared" si="3"/>
        <v>7837.5</v>
      </c>
      <c r="H35" s="160">
        <f t="shared" si="4"/>
        <v>15675</v>
      </c>
      <c r="I35" s="171">
        <v>55</v>
      </c>
      <c r="J35" s="171">
        <v>55</v>
      </c>
      <c r="K35" s="165"/>
      <c r="L35" s="166"/>
    </row>
    <row r="36" spans="1:12" s="109" customFormat="1" ht="43.2" x14ac:dyDescent="0.3">
      <c r="A36" s="8">
        <f t="shared" si="0"/>
        <v>35</v>
      </c>
      <c r="B36" s="172">
        <v>1200003722</v>
      </c>
      <c r="C36" s="172">
        <v>4000020057</v>
      </c>
      <c r="D36" s="173" t="s">
        <v>743</v>
      </c>
      <c r="E36" s="174" t="s">
        <v>346</v>
      </c>
      <c r="F36" s="172">
        <v>2</v>
      </c>
      <c r="G36" s="159">
        <f t="shared" si="3"/>
        <v>7837.5</v>
      </c>
      <c r="H36" s="160">
        <f t="shared" si="4"/>
        <v>15675</v>
      </c>
      <c r="I36" s="171">
        <v>55</v>
      </c>
      <c r="J36" s="171">
        <v>55</v>
      </c>
      <c r="K36" s="165"/>
      <c r="L36" s="166"/>
    </row>
    <row r="37" spans="1:12" s="109" customFormat="1" ht="43.2" x14ac:dyDescent="0.3">
      <c r="A37" s="8">
        <f t="shared" si="0"/>
        <v>36</v>
      </c>
      <c r="B37" s="172">
        <v>1200003722</v>
      </c>
      <c r="C37" s="172">
        <v>4000020058</v>
      </c>
      <c r="D37" s="173" t="s">
        <v>744</v>
      </c>
      <c r="E37" s="174" t="s">
        <v>346</v>
      </c>
      <c r="F37" s="172">
        <v>2</v>
      </c>
      <c r="G37" s="159">
        <f t="shared" si="3"/>
        <v>14250</v>
      </c>
      <c r="H37" s="160">
        <f t="shared" si="4"/>
        <v>28500</v>
      </c>
      <c r="I37" s="171">
        <v>100</v>
      </c>
      <c r="J37" s="171">
        <v>100</v>
      </c>
      <c r="K37" s="165"/>
      <c r="L37" s="166"/>
    </row>
    <row r="38" spans="1:12" s="109" customFormat="1" ht="28.8" x14ac:dyDescent="0.3">
      <c r="A38" s="8">
        <f t="shared" si="0"/>
        <v>37</v>
      </c>
      <c r="B38" s="172">
        <v>1200003722</v>
      </c>
      <c r="C38" s="172">
        <v>4000020059</v>
      </c>
      <c r="D38" s="173" t="s">
        <v>745</v>
      </c>
      <c r="E38" s="174" t="s">
        <v>346</v>
      </c>
      <c r="F38" s="172">
        <v>2</v>
      </c>
      <c r="G38" s="159">
        <f t="shared" si="3"/>
        <v>4987.5</v>
      </c>
      <c r="H38" s="160">
        <f t="shared" si="4"/>
        <v>9975</v>
      </c>
      <c r="I38" s="171">
        <v>35</v>
      </c>
      <c r="J38" s="171">
        <v>35</v>
      </c>
      <c r="K38" s="165"/>
      <c r="L38" s="166"/>
    </row>
    <row r="39" spans="1:12" s="109" customFormat="1" ht="43.2" x14ac:dyDescent="0.3">
      <c r="A39" s="8">
        <f t="shared" si="0"/>
        <v>38</v>
      </c>
      <c r="B39" s="172">
        <v>1200003722</v>
      </c>
      <c r="C39" s="172">
        <v>4000020060</v>
      </c>
      <c r="D39" s="173" t="s">
        <v>746</v>
      </c>
      <c r="E39" s="174" t="s">
        <v>346</v>
      </c>
      <c r="F39" s="172">
        <v>2</v>
      </c>
      <c r="G39" s="159">
        <f t="shared" si="3"/>
        <v>2850</v>
      </c>
      <c r="H39" s="160">
        <f t="shared" si="4"/>
        <v>5700</v>
      </c>
      <c r="I39" s="171">
        <v>20</v>
      </c>
      <c r="J39" s="171">
        <v>20</v>
      </c>
      <c r="K39" s="165"/>
      <c r="L39" s="166"/>
    </row>
    <row r="40" spans="1:12" s="109" customFormat="1" ht="43.2" x14ac:dyDescent="0.3">
      <c r="A40" s="8">
        <f t="shared" si="0"/>
        <v>39</v>
      </c>
      <c r="B40" s="172">
        <v>1200003722</v>
      </c>
      <c r="C40" s="172">
        <v>4000020061</v>
      </c>
      <c r="D40" s="173" t="s">
        <v>747</v>
      </c>
      <c r="E40" s="174" t="s">
        <v>346</v>
      </c>
      <c r="F40" s="172">
        <v>2</v>
      </c>
      <c r="G40" s="159">
        <f t="shared" si="3"/>
        <v>7837.5</v>
      </c>
      <c r="H40" s="160">
        <f t="shared" si="4"/>
        <v>15675</v>
      </c>
      <c r="I40" s="171">
        <v>55</v>
      </c>
      <c r="J40" s="171">
        <v>55</v>
      </c>
      <c r="K40" s="165"/>
      <c r="L40" s="166"/>
    </row>
    <row r="41" spans="1:12" s="109" customFormat="1" ht="43.2" x14ac:dyDescent="0.3">
      <c r="A41" s="8">
        <f t="shared" si="0"/>
        <v>40</v>
      </c>
      <c r="B41" s="172">
        <v>1200003722</v>
      </c>
      <c r="C41" s="172">
        <v>4000020062</v>
      </c>
      <c r="D41" s="173" t="s">
        <v>748</v>
      </c>
      <c r="E41" s="174" t="s">
        <v>346</v>
      </c>
      <c r="F41" s="172">
        <v>2</v>
      </c>
      <c r="G41" s="159">
        <f t="shared" si="3"/>
        <v>2137.5</v>
      </c>
      <c r="H41" s="160">
        <f t="shared" si="4"/>
        <v>4275</v>
      </c>
      <c r="I41" s="171">
        <v>15</v>
      </c>
      <c r="J41" s="171">
        <v>15</v>
      </c>
      <c r="K41" s="165"/>
      <c r="L41" s="166"/>
    </row>
    <row r="42" spans="1:12" s="109" customFormat="1" ht="28.8" x14ac:dyDescent="0.3">
      <c r="A42" s="8">
        <f t="shared" si="0"/>
        <v>41</v>
      </c>
      <c r="B42" s="172">
        <v>1200003722</v>
      </c>
      <c r="C42" s="172">
        <v>4000020063</v>
      </c>
      <c r="D42" s="173" t="s">
        <v>749</v>
      </c>
      <c r="E42" s="174" t="s">
        <v>346</v>
      </c>
      <c r="F42" s="172">
        <v>2</v>
      </c>
      <c r="G42" s="159">
        <f t="shared" si="3"/>
        <v>2137.5</v>
      </c>
      <c r="H42" s="160">
        <f t="shared" si="4"/>
        <v>4275</v>
      </c>
      <c r="I42" s="171">
        <v>15</v>
      </c>
      <c r="J42" s="171">
        <v>15</v>
      </c>
      <c r="K42" s="165"/>
      <c r="L42" s="166"/>
    </row>
    <row r="43" spans="1:12" s="109" customFormat="1" ht="28.8" x14ac:dyDescent="0.3">
      <c r="A43" s="8">
        <f t="shared" si="0"/>
        <v>42</v>
      </c>
      <c r="B43" s="172">
        <v>1200003722</v>
      </c>
      <c r="C43" s="172">
        <v>4000020064</v>
      </c>
      <c r="D43" s="173" t="s">
        <v>750</v>
      </c>
      <c r="E43" s="174" t="s">
        <v>346</v>
      </c>
      <c r="F43" s="172">
        <v>2</v>
      </c>
      <c r="G43" s="159">
        <f t="shared" si="3"/>
        <v>2137.5</v>
      </c>
      <c r="H43" s="160">
        <f t="shared" si="4"/>
        <v>4275</v>
      </c>
      <c r="I43" s="171">
        <v>15</v>
      </c>
      <c r="J43" s="171">
        <v>15</v>
      </c>
      <c r="K43" s="165"/>
      <c r="L43" s="166"/>
    </row>
    <row r="44" spans="1:12" s="109" customFormat="1" ht="43.2" x14ac:dyDescent="0.3">
      <c r="A44" s="8">
        <f t="shared" si="0"/>
        <v>43</v>
      </c>
      <c r="B44" s="172">
        <v>1200003722</v>
      </c>
      <c r="C44" s="172">
        <v>4000020065</v>
      </c>
      <c r="D44" s="173" t="s">
        <v>751</v>
      </c>
      <c r="E44" s="174" t="s">
        <v>346</v>
      </c>
      <c r="F44" s="172">
        <v>2</v>
      </c>
      <c r="G44" s="159">
        <f t="shared" si="3"/>
        <v>2850</v>
      </c>
      <c r="H44" s="160">
        <f t="shared" si="4"/>
        <v>5700</v>
      </c>
      <c r="I44" s="171">
        <v>20</v>
      </c>
      <c r="J44" s="171">
        <v>20</v>
      </c>
      <c r="K44" s="165"/>
      <c r="L44" s="166"/>
    </row>
    <row r="45" spans="1:12" s="109" customFormat="1" ht="28.8" x14ac:dyDescent="0.3">
      <c r="A45" s="8">
        <f t="shared" si="0"/>
        <v>44</v>
      </c>
      <c r="B45" s="172">
        <v>1200003722</v>
      </c>
      <c r="C45" s="172">
        <v>4000020066</v>
      </c>
      <c r="D45" s="173" t="s">
        <v>752</v>
      </c>
      <c r="E45" s="174" t="s">
        <v>346</v>
      </c>
      <c r="F45" s="172">
        <v>2</v>
      </c>
      <c r="G45" s="159">
        <f t="shared" si="3"/>
        <v>2137.5</v>
      </c>
      <c r="H45" s="160">
        <f t="shared" si="4"/>
        <v>4275</v>
      </c>
      <c r="I45" s="171">
        <v>15</v>
      </c>
      <c r="J45" s="171">
        <v>15</v>
      </c>
      <c r="K45" s="165"/>
      <c r="L45" s="166"/>
    </row>
    <row r="46" spans="1:12" s="109" customFormat="1" ht="28.8" x14ac:dyDescent="0.3">
      <c r="A46" s="8">
        <f t="shared" si="0"/>
        <v>45</v>
      </c>
      <c r="B46" s="172">
        <v>1200003722</v>
      </c>
      <c r="C46" s="172">
        <v>4000020067</v>
      </c>
      <c r="D46" s="173" t="s">
        <v>753</v>
      </c>
      <c r="E46" s="174" t="s">
        <v>346</v>
      </c>
      <c r="F46" s="172">
        <v>2</v>
      </c>
      <c r="G46" s="159">
        <f t="shared" si="3"/>
        <v>1425</v>
      </c>
      <c r="H46" s="160">
        <f t="shared" si="4"/>
        <v>2850</v>
      </c>
      <c r="I46" s="171">
        <v>10</v>
      </c>
      <c r="J46" s="171">
        <v>10</v>
      </c>
      <c r="K46" s="165"/>
      <c r="L46" s="166"/>
    </row>
    <row r="47" spans="1:12" s="109" customFormat="1" ht="43.2" x14ac:dyDescent="0.3">
      <c r="A47" s="8">
        <f t="shared" si="0"/>
        <v>46</v>
      </c>
      <c r="B47" s="172">
        <v>1200003722</v>
      </c>
      <c r="C47" s="172">
        <v>4000020068</v>
      </c>
      <c r="D47" s="173" t="s">
        <v>754</v>
      </c>
      <c r="E47" s="174" t="s">
        <v>346</v>
      </c>
      <c r="F47" s="172">
        <v>1</v>
      </c>
      <c r="G47" s="159">
        <f t="shared" si="3"/>
        <v>153900</v>
      </c>
      <c r="H47" s="160">
        <f t="shared" si="4"/>
        <v>153900</v>
      </c>
      <c r="I47" s="171">
        <v>1080</v>
      </c>
      <c r="J47" s="171">
        <v>1080</v>
      </c>
      <c r="K47" s="165"/>
      <c r="L47" s="166"/>
    </row>
    <row r="48" spans="1:12" s="109" customFormat="1" ht="28.8" x14ac:dyDescent="0.3">
      <c r="A48" s="8">
        <f t="shared" si="0"/>
        <v>47</v>
      </c>
      <c r="B48" s="172">
        <v>1200003722</v>
      </c>
      <c r="C48" s="172">
        <v>4000001646</v>
      </c>
      <c r="D48" s="173" t="s">
        <v>755</v>
      </c>
      <c r="E48" s="174" t="s">
        <v>346</v>
      </c>
      <c r="F48" s="172">
        <v>25</v>
      </c>
      <c r="G48" s="159">
        <f t="shared" si="3"/>
        <v>7125</v>
      </c>
      <c r="H48" s="160">
        <f t="shared" si="4"/>
        <v>178125</v>
      </c>
      <c r="I48" s="171">
        <v>50</v>
      </c>
      <c r="J48" s="171">
        <v>50</v>
      </c>
      <c r="K48" s="165"/>
      <c r="L48" s="166"/>
    </row>
    <row r="49" spans="1:12" s="109" customFormat="1" ht="28.8" x14ac:dyDescent="0.3">
      <c r="A49" s="8">
        <f t="shared" si="0"/>
        <v>48</v>
      </c>
      <c r="B49" s="172">
        <v>1200003722</v>
      </c>
      <c r="C49" s="172">
        <v>4000001645</v>
      </c>
      <c r="D49" s="173" t="s">
        <v>756</v>
      </c>
      <c r="E49" s="174" t="s">
        <v>346</v>
      </c>
      <c r="F49" s="172">
        <v>23</v>
      </c>
      <c r="G49" s="159">
        <f t="shared" si="3"/>
        <v>5700</v>
      </c>
      <c r="H49" s="160">
        <f t="shared" si="4"/>
        <v>131100</v>
      </c>
      <c r="I49" s="171">
        <v>40</v>
      </c>
      <c r="J49" s="171">
        <v>40</v>
      </c>
      <c r="K49" s="165"/>
      <c r="L49" s="166"/>
    </row>
    <row r="50" spans="1:12" s="109" customFormat="1" ht="43.2" x14ac:dyDescent="0.3">
      <c r="A50" s="8">
        <f t="shared" si="0"/>
        <v>49</v>
      </c>
      <c r="B50" s="172">
        <v>1200003722</v>
      </c>
      <c r="C50" s="172">
        <v>4000020069</v>
      </c>
      <c r="D50" s="173" t="s">
        <v>757</v>
      </c>
      <c r="E50" s="174" t="s">
        <v>346</v>
      </c>
      <c r="F50" s="172">
        <v>2</v>
      </c>
      <c r="G50" s="159">
        <f t="shared" si="3"/>
        <v>15675</v>
      </c>
      <c r="H50" s="160">
        <f t="shared" si="4"/>
        <v>31350</v>
      </c>
      <c r="I50" s="171">
        <v>110</v>
      </c>
      <c r="J50" s="171">
        <v>110</v>
      </c>
      <c r="K50" s="165"/>
      <c r="L50" s="166"/>
    </row>
    <row r="51" spans="1:12" s="109" customFormat="1" ht="28.8" x14ac:dyDescent="0.3">
      <c r="A51" s="8">
        <f t="shared" si="0"/>
        <v>50</v>
      </c>
      <c r="B51" s="172">
        <v>1200003722</v>
      </c>
      <c r="C51" s="172">
        <v>4000020070</v>
      </c>
      <c r="D51" s="173" t="s">
        <v>758</v>
      </c>
      <c r="E51" s="174" t="s">
        <v>346</v>
      </c>
      <c r="F51" s="172">
        <v>2</v>
      </c>
      <c r="G51" s="159">
        <f t="shared" si="3"/>
        <v>9975</v>
      </c>
      <c r="H51" s="160">
        <f t="shared" si="4"/>
        <v>19950</v>
      </c>
      <c r="I51" s="171">
        <v>70</v>
      </c>
      <c r="J51" s="171">
        <v>70</v>
      </c>
      <c r="K51" s="165"/>
      <c r="L51" s="166"/>
    </row>
    <row r="52" spans="1:12" s="109" customFormat="1" ht="28.8" x14ac:dyDescent="0.3">
      <c r="A52" s="8">
        <f t="shared" si="0"/>
        <v>51</v>
      </c>
      <c r="B52" s="172">
        <v>1200003722</v>
      </c>
      <c r="C52" s="172">
        <v>4000020071</v>
      </c>
      <c r="D52" s="173" t="s">
        <v>759</v>
      </c>
      <c r="E52" s="174" t="s">
        <v>346</v>
      </c>
      <c r="F52" s="172">
        <v>2</v>
      </c>
      <c r="G52" s="159">
        <f t="shared" si="3"/>
        <v>8550</v>
      </c>
      <c r="H52" s="160">
        <f t="shared" si="4"/>
        <v>17100</v>
      </c>
      <c r="I52" s="171">
        <v>60</v>
      </c>
      <c r="J52" s="171">
        <v>60</v>
      </c>
      <c r="K52" s="165"/>
      <c r="L52" s="166"/>
    </row>
    <row r="53" spans="1:12" s="109" customFormat="1" ht="28.8" x14ac:dyDescent="0.3">
      <c r="A53" s="8">
        <f t="shared" si="0"/>
        <v>52</v>
      </c>
      <c r="B53" s="172">
        <v>1200003722</v>
      </c>
      <c r="C53" s="172">
        <v>4000020072</v>
      </c>
      <c r="D53" s="173" t="s">
        <v>760</v>
      </c>
      <c r="E53" s="174" t="s">
        <v>346</v>
      </c>
      <c r="F53" s="172">
        <v>8</v>
      </c>
      <c r="G53" s="159">
        <f t="shared" si="3"/>
        <v>4987.5</v>
      </c>
      <c r="H53" s="160">
        <f t="shared" si="4"/>
        <v>39900</v>
      </c>
      <c r="I53" s="171">
        <v>35</v>
      </c>
      <c r="J53" s="171">
        <v>35</v>
      </c>
      <c r="K53" s="165"/>
      <c r="L53" s="166"/>
    </row>
    <row r="54" spans="1:12" s="109" customFormat="1" ht="28.8" x14ac:dyDescent="0.3">
      <c r="A54" s="8">
        <f t="shared" si="0"/>
        <v>53</v>
      </c>
      <c r="B54" s="172">
        <v>1200003722</v>
      </c>
      <c r="C54" s="172">
        <v>4000020073</v>
      </c>
      <c r="D54" s="173" t="s">
        <v>761</v>
      </c>
      <c r="E54" s="174" t="s">
        <v>346</v>
      </c>
      <c r="F54" s="172">
        <v>2</v>
      </c>
      <c r="G54" s="159">
        <f t="shared" si="3"/>
        <v>2850</v>
      </c>
      <c r="H54" s="160">
        <f t="shared" si="4"/>
        <v>5700</v>
      </c>
      <c r="I54" s="171">
        <v>20</v>
      </c>
      <c r="J54" s="171">
        <v>20</v>
      </c>
      <c r="K54" s="165"/>
      <c r="L54" s="166"/>
    </row>
    <row r="55" spans="1:12" s="109" customFormat="1" ht="28.8" x14ac:dyDescent="0.3">
      <c r="A55" s="8">
        <f t="shared" si="0"/>
        <v>54</v>
      </c>
      <c r="B55" s="172">
        <v>1200003722</v>
      </c>
      <c r="C55" s="172">
        <v>4000020074</v>
      </c>
      <c r="D55" s="173" t="s">
        <v>762</v>
      </c>
      <c r="E55" s="174" t="s">
        <v>346</v>
      </c>
      <c r="F55" s="172">
        <v>2</v>
      </c>
      <c r="G55" s="159">
        <f t="shared" si="3"/>
        <v>4987.5</v>
      </c>
      <c r="H55" s="160">
        <f t="shared" si="4"/>
        <v>9975</v>
      </c>
      <c r="I55" s="171">
        <v>35</v>
      </c>
      <c r="J55" s="171">
        <v>35</v>
      </c>
      <c r="K55" s="165"/>
      <c r="L55" s="166"/>
    </row>
    <row r="56" spans="1:12" s="109" customFormat="1" ht="28.8" x14ac:dyDescent="0.3">
      <c r="A56" s="8">
        <f t="shared" si="0"/>
        <v>55</v>
      </c>
      <c r="B56" s="172">
        <v>1200003722</v>
      </c>
      <c r="C56" s="172">
        <v>4000020075</v>
      </c>
      <c r="D56" s="173" t="s">
        <v>763</v>
      </c>
      <c r="E56" s="174" t="s">
        <v>346</v>
      </c>
      <c r="F56" s="172">
        <v>4</v>
      </c>
      <c r="G56" s="159">
        <f t="shared" si="3"/>
        <v>2850</v>
      </c>
      <c r="H56" s="160">
        <f t="shared" si="4"/>
        <v>11400</v>
      </c>
      <c r="I56" s="171">
        <v>20</v>
      </c>
      <c r="J56" s="171">
        <v>20</v>
      </c>
      <c r="K56" s="165"/>
      <c r="L56" s="166"/>
    </row>
    <row r="57" spans="1:12" s="109" customFormat="1" ht="28.8" x14ac:dyDescent="0.3">
      <c r="A57" s="8">
        <f t="shared" si="0"/>
        <v>56</v>
      </c>
      <c r="B57" s="172">
        <v>1200003722</v>
      </c>
      <c r="C57" s="172">
        <v>4000020076</v>
      </c>
      <c r="D57" s="173" t="s">
        <v>764</v>
      </c>
      <c r="E57" s="174" t="s">
        <v>346</v>
      </c>
      <c r="F57" s="172">
        <v>8</v>
      </c>
      <c r="G57" s="159">
        <f t="shared" si="3"/>
        <v>2137.5</v>
      </c>
      <c r="H57" s="160">
        <f t="shared" si="4"/>
        <v>17100</v>
      </c>
      <c r="I57" s="171">
        <v>15</v>
      </c>
      <c r="J57" s="171">
        <v>15</v>
      </c>
      <c r="K57" s="165"/>
      <c r="L57" s="166"/>
    </row>
    <row r="58" spans="1:12" s="109" customFormat="1" ht="28.8" x14ac:dyDescent="0.3">
      <c r="A58" s="8">
        <f t="shared" si="0"/>
        <v>57</v>
      </c>
      <c r="B58" s="172">
        <v>1200003722</v>
      </c>
      <c r="C58" s="172">
        <v>4000020077</v>
      </c>
      <c r="D58" s="173" t="s">
        <v>765</v>
      </c>
      <c r="E58" s="174" t="s">
        <v>346</v>
      </c>
      <c r="F58" s="172">
        <v>2</v>
      </c>
      <c r="G58" s="159">
        <f t="shared" si="3"/>
        <v>1425</v>
      </c>
      <c r="H58" s="160">
        <f t="shared" si="4"/>
        <v>2850</v>
      </c>
      <c r="I58" s="171">
        <v>10</v>
      </c>
      <c r="J58" s="171">
        <v>10</v>
      </c>
      <c r="K58" s="165"/>
      <c r="L58" s="166"/>
    </row>
    <row r="59" spans="1:12" s="109" customFormat="1" ht="28.8" x14ac:dyDescent="0.3">
      <c r="A59" s="8">
        <f t="shared" si="0"/>
        <v>58</v>
      </c>
      <c r="B59" s="172">
        <v>1200003722</v>
      </c>
      <c r="C59" s="172">
        <v>4000001821</v>
      </c>
      <c r="D59" s="173" t="s">
        <v>766</v>
      </c>
      <c r="E59" s="174" t="s">
        <v>346</v>
      </c>
      <c r="F59" s="172">
        <v>5</v>
      </c>
      <c r="G59" s="159">
        <f t="shared" si="3"/>
        <v>22800</v>
      </c>
      <c r="H59" s="160">
        <f t="shared" si="4"/>
        <v>114000</v>
      </c>
      <c r="I59" s="171">
        <v>160</v>
      </c>
      <c r="J59" s="171">
        <v>160</v>
      </c>
      <c r="K59" s="165"/>
      <c r="L59" s="166"/>
    </row>
    <row r="60" spans="1:12" s="109" customFormat="1" ht="28.8" x14ac:dyDescent="0.3">
      <c r="A60" s="8">
        <f t="shared" si="0"/>
        <v>59</v>
      </c>
      <c r="B60" s="172">
        <v>1200003722</v>
      </c>
      <c r="C60" s="172">
        <v>4000001912</v>
      </c>
      <c r="D60" s="173" t="s">
        <v>767</v>
      </c>
      <c r="E60" s="174" t="s">
        <v>346</v>
      </c>
      <c r="F60" s="172">
        <v>6</v>
      </c>
      <c r="G60" s="159">
        <f t="shared" si="3"/>
        <v>9262.5</v>
      </c>
      <c r="H60" s="160">
        <f t="shared" si="4"/>
        <v>55575</v>
      </c>
      <c r="I60" s="171">
        <v>65</v>
      </c>
      <c r="J60" s="171">
        <v>65</v>
      </c>
      <c r="K60" s="165"/>
      <c r="L60" s="166"/>
    </row>
    <row r="61" spans="1:12" s="109" customFormat="1" ht="28.8" x14ac:dyDescent="0.3">
      <c r="A61" s="8">
        <f t="shared" si="0"/>
        <v>60</v>
      </c>
      <c r="B61" s="172">
        <v>1200003722</v>
      </c>
      <c r="C61" s="172">
        <v>4000018095</v>
      </c>
      <c r="D61" s="173" t="s">
        <v>768</v>
      </c>
      <c r="E61" s="174" t="s">
        <v>346</v>
      </c>
      <c r="F61" s="172">
        <v>20</v>
      </c>
      <c r="G61" s="159">
        <f t="shared" si="3"/>
        <v>3562.5</v>
      </c>
      <c r="H61" s="160">
        <f t="shared" si="4"/>
        <v>71250</v>
      </c>
      <c r="I61" s="171">
        <v>25</v>
      </c>
      <c r="J61" s="171">
        <v>25</v>
      </c>
      <c r="K61" s="165"/>
      <c r="L61" s="166"/>
    </row>
    <row r="62" spans="1:12" s="109" customFormat="1" ht="28.8" x14ac:dyDescent="0.3">
      <c r="A62" s="8">
        <f t="shared" si="0"/>
        <v>61</v>
      </c>
      <c r="B62" s="172">
        <v>1200003722</v>
      </c>
      <c r="C62" s="172">
        <v>4000020078</v>
      </c>
      <c r="D62" s="173" t="s">
        <v>769</v>
      </c>
      <c r="E62" s="174" t="s">
        <v>346</v>
      </c>
      <c r="F62" s="172">
        <v>20</v>
      </c>
      <c r="G62" s="159">
        <f t="shared" si="3"/>
        <v>2137.5</v>
      </c>
      <c r="H62" s="160">
        <f t="shared" si="4"/>
        <v>42750</v>
      </c>
      <c r="I62" s="171">
        <v>15</v>
      </c>
      <c r="J62" s="171">
        <v>15</v>
      </c>
      <c r="K62" s="165"/>
      <c r="L62" s="166"/>
    </row>
    <row r="63" spans="1:12" s="109" customFormat="1" ht="28.8" x14ac:dyDescent="0.3">
      <c r="A63" s="8">
        <f t="shared" si="0"/>
        <v>62</v>
      </c>
      <c r="B63" s="172">
        <v>1200003722</v>
      </c>
      <c r="C63" s="172">
        <v>4000020079</v>
      </c>
      <c r="D63" s="173" t="s">
        <v>770</v>
      </c>
      <c r="E63" s="174" t="s">
        <v>346</v>
      </c>
      <c r="F63" s="172">
        <v>24</v>
      </c>
      <c r="G63" s="159">
        <f t="shared" si="3"/>
        <v>2137.5</v>
      </c>
      <c r="H63" s="160">
        <f t="shared" si="4"/>
        <v>51300</v>
      </c>
      <c r="I63" s="171">
        <v>15</v>
      </c>
      <c r="J63" s="171">
        <v>15</v>
      </c>
      <c r="K63" s="165"/>
      <c r="L63" s="166"/>
    </row>
    <row r="64" spans="1:12" s="109" customFormat="1" ht="43.2" x14ac:dyDescent="0.3">
      <c r="A64" s="8">
        <f t="shared" si="0"/>
        <v>63</v>
      </c>
      <c r="B64" s="172">
        <v>1200003722</v>
      </c>
      <c r="C64" s="172">
        <v>4000009723</v>
      </c>
      <c r="D64" s="173" t="s">
        <v>771</v>
      </c>
      <c r="E64" s="174" t="s">
        <v>346</v>
      </c>
      <c r="F64" s="172">
        <v>4</v>
      </c>
      <c r="G64" s="159">
        <f t="shared" si="3"/>
        <v>712.5</v>
      </c>
      <c r="H64" s="160">
        <f t="shared" si="4"/>
        <v>2850</v>
      </c>
      <c r="I64" s="171">
        <v>5</v>
      </c>
      <c r="J64" s="171">
        <v>5</v>
      </c>
      <c r="K64" s="165"/>
      <c r="L64" s="166"/>
    </row>
    <row r="65" spans="1:13" s="109" customFormat="1" ht="43.2" x14ac:dyDescent="0.3">
      <c r="A65" s="8">
        <f t="shared" si="0"/>
        <v>64</v>
      </c>
      <c r="B65" s="172">
        <v>1200003722</v>
      </c>
      <c r="C65" s="172">
        <v>4000009724</v>
      </c>
      <c r="D65" s="173" t="s">
        <v>772</v>
      </c>
      <c r="E65" s="174" t="s">
        <v>346</v>
      </c>
      <c r="F65" s="172">
        <v>24</v>
      </c>
      <c r="G65" s="159">
        <f t="shared" si="3"/>
        <v>2137.5</v>
      </c>
      <c r="H65" s="160">
        <f t="shared" si="4"/>
        <v>51300</v>
      </c>
      <c r="I65" s="171">
        <v>15</v>
      </c>
      <c r="J65" s="171">
        <v>15</v>
      </c>
      <c r="K65" s="165"/>
      <c r="L65" s="166"/>
    </row>
    <row r="66" spans="1:13" s="109" customFormat="1" ht="28.8" x14ac:dyDescent="0.3">
      <c r="A66" s="8">
        <f t="shared" si="0"/>
        <v>65</v>
      </c>
      <c r="B66" s="172">
        <v>1200003722</v>
      </c>
      <c r="C66" s="172">
        <v>7000003384</v>
      </c>
      <c r="D66" s="173" t="s">
        <v>773</v>
      </c>
      <c r="E66" s="174" t="s">
        <v>346</v>
      </c>
      <c r="F66" s="172">
        <v>10</v>
      </c>
      <c r="G66" s="159">
        <f t="shared" si="3"/>
        <v>2137.5</v>
      </c>
      <c r="H66" s="160">
        <f t="shared" si="4"/>
        <v>21375</v>
      </c>
      <c r="I66" s="171">
        <v>15</v>
      </c>
      <c r="J66" s="171">
        <v>15</v>
      </c>
      <c r="K66" s="165"/>
      <c r="L66" s="166"/>
    </row>
    <row r="67" spans="1:13" s="109" customFormat="1" ht="28.8" x14ac:dyDescent="0.3">
      <c r="A67" s="8">
        <f t="shared" si="0"/>
        <v>66</v>
      </c>
      <c r="B67" s="172">
        <v>1200003722</v>
      </c>
      <c r="C67" s="172">
        <v>4000018082</v>
      </c>
      <c r="D67" s="173" t="s">
        <v>774</v>
      </c>
      <c r="E67" s="174" t="s">
        <v>346</v>
      </c>
      <c r="F67" s="172">
        <v>10</v>
      </c>
      <c r="G67" s="159">
        <f t="shared" si="3"/>
        <v>2137.5</v>
      </c>
      <c r="H67" s="160">
        <f t="shared" si="4"/>
        <v>21375</v>
      </c>
      <c r="I67" s="171">
        <v>15</v>
      </c>
      <c r="J67" s="171">
        <v>15</v>
      </c>
      <c r="K67" s="165"/>
      <c r="L67" s="166"/>
    </row>
    <row r="68" spans="1:13" s="109" customFormat="1" ht="28.8" x14ac:dyDescent="0.3">
      <c r="A68" s="8">
        <f t="shared" si="0"/>
        <v>67</v>
      </c>
      <c r="B68" s="172">
        <v>1200003722</v>
      </c>
      <c r="C68" s="172">
        <v>7000003381</v>
      </c>
      <c r="D68" s="173" t="s">
        <v>775</v>
      </c>
      <c r="E68" s="174" t="s">
        <v>346</v>
      </c>
      <c r="F68" s="172">
        <v>10</v>
      </c>
      <c r="G68" s="159">
        <f t="shared" si="3"/>
        <v>712.5</v>
      </c>
      <c r="H68" s="160">
        <f t="shared" si="4"/>
        <v>7125</v>
      </c>
      <c r="I68" s="171">
        <v>5</v>
      </c>
      <c r="J68" s="171">
        <v>5</v>
      </c>
      <c r="K68" s="165"/>
      <c r="L68" s="166"/>
    </row>
    <row r="69" spans="1:13" s="109" customFormat="1" ht="28.8" x14ac:dyDescent="0.3">
      <c r="A69" s="8">
        <f t="shared" si="0"/>
        <v>68</v>
      </c>
      <c r="B69" s="172">
        <v>1200003722</v>
      </c>
      <c r="C69" s="172">
        <v>7000003385</v>
      </c>
      <c r="D69" s="173" t="s">
        <v>776</v>
      </c>
      <c r="E69" s="174" t="s">
        <v>346</v>
      </c>
      <c r="F69" s="172">
        <v>16</v>
      </c>
      <c r="G69" s="159">
        <f t="shared" si="3"/>
        <v>1425</v>
      </c>
      <c r="H69" s="160">
        <f t="shared" si="4"/>
        <v>22800</v>
      </c>
      <c r="I69" s="171">
        <v>10</v>
      </c>
      <c r="J69" s="171">
        <v>10</v>
      </c>
      <c r="K69" s="165"/>
      <c r="L69" s="166"/>
    </row>
    <row r="70" spans="1:13" s="109" customFormat="1" ht="43.2" x14ac:dyDescent="0.3">
      <c r="A70" s="8">
        <f t="shared" si="0"/>
        <v>69</v>
      </c>
      <c r="B70" s="172">
        <v>1200003722</v>
      </c>
      <c r="C70" s="172">
        <v>4000002005</v>
      </c>
      <c r="D70" s="173" t="s">
        <v>777</v>
      </c>
      <c r="E70" s="174" t="s">
        <v>345</v>
      </c>
      <c r="F70" s="172">
        <v>1</v>
      </c>
      <c r="G70" s="159">
        <f t="shared" si="3"/>
        <v>55575</v>
      </c>
      <c r="H70" s="160">
        <f t="shared" si="4"/>
        <v>55575</v>
      </c>
      <c r="I70" s="171">
        <v>390</v>
      </c>
      <c r="J70" s="171">
        <v>390</v>
      </c>
      <c r="K70" s="165"/>
      <c r="L70" s="166"/>
    </row>
    <row r="71" spans="1:13" s="109" customFormat="1" ht="43.2" x14ac:dyDescent="0.3">
      <c r="A71" s="8">
        <f t="shared" si="0"/>
        <v>70</v>
      </c>
      <c r="B71" s="172">
        <v>1200003722</v>
      </c>
      <c r="C71" s="172">
        <v>4000002006</v>
      </c>
      <c r="D71" s="173" t="s">
        <v>778</v>
      </c>
      <c r="E71" s="174" t="s">
        <v>345</v>
      </c>
      <c r="F71" s="172">
        <v>1</v>
      </c>
      <c r="G71" s="159">
        <f t="shared" si="3"/>
        <v>55575</v>
      </c>
      <c r="H71" s="160">
        <f t="shared" si="4"/>
        <v>55575</v>
      </c>
      <c r="I71" s="171">
        <v>390</v>
      </c>
      <c r="J71" s="171">
        <v>390</v>
      </c>
      <c r="K71" s="165"/>
      <c r="L71" s="166"/>
    </row>
    <row r="72" spans="1:13" s="109" customFormat="1" ht="28.8" x14ac:dyDescent="0.3">
      <c r="A72" s="8">
        <f t="shared" si="0"/>
        <v>71</v>
      </c>
      <c r="B72" s="172">
        <v>1200003722</v>
      </c>
      <c r="C72" s="172">
        <v>4000002008</v>
      </c>
      <c r="D72" s="173" t="s">
        <v>779</v>
      </c>
      <c r="E72" s="174" t="s">
        <v>346</v>
      </c>
      <c r="F72" s="172">
        <v>4</v>
      </c>
      <c r="G72" s="159">
        <f t="shared" si="3"/>
        <v>1425</v>
      </c>
      <c r="H72" s="160">
        <f t="shared" si="4"/>
        <v>5700</v>
      </c>
      <c r="I72" s="171">
        <v>10</v>
      </c>
      <c r="J72" s="171">
        <v>10</v>
      </c>
      <c r="K72" s="165"/>
      <c r="L72" s="166"/>
    </row>
    <row r="73" spans="1:13" s="109" customFormat="1" ht="43.2" x14ac:dyDescent="0.3">
      <c r="A73" s="8">
        <f t="shared" si="0"/>
        <v>72</v>
      </c>
      <c r="B73" s="172">
        <v>1200003722</v>
      </c>
      <c r="C73" s="172">
        <v>4000000614</v>
      </c>
      <c r="D73" s="173" t="s">
        <v>780</v>
      </c>
      <c r="E73" s="174" t="s">
        <v>346</v>
      </c>
      <c r="F73" s="172">
        <v>1</v>
      </c>
      <c r="G73" s="159">
        <f t="shared" si="3"/>
        <v>55575</v>
      </c>
      <c r="H73" s="160">
        <f t="shared" si="4"/>
        <v>55575</v>
      </c>
      <c r="I73" s="171">
        <v>390</v>
      </c>
      <c r="J73" s="171">
        <v>390</v>
      </c>
      <c r="K73" s="165"/>
      <c r="L73" s="166"/>
    </row>
    <row r="74" spans="1:13" s="109" customFormat="1" ht="28.8" x14ac:dyDescent="0.3">
      <c r="A74" s="8">
        <f t="shared" si="0"/>
        <v>73</v>
      </c>
      <c r="B74" s="172">
        <v>1200003722</v>
      </c>
      <c r="C74" s="172">
        <v>4000000615</v>
      </c>
      <c r="D74" s="173" t="s">
        <v>781</v>
      </c>
      <c r="E74" s="174" t="s">
        <v>346</v>
      </c>
      <c r="F74" s="172">
        <v>1</v>
      </c>
      <c r="G74" s="159">
        <f t="shared" si="3"/>
        <v>55575</v>
      </c>
      <c r="H74" s="160">
        <f t="shared" si="4"/>
        <v>55575</v>
      </c>
      <c r="I74" s="171">
        <v>390</v>
      </c>
      <c r="J74" s="171">
        <v>390</v>
      </c>
      <c r="K74" s="165"/>
      <c r="L74" s="166"/>
    </row>
    <row r="75" spans="1:13" s="109" customFormat="1" ht="28.8" x14ac:dyDescent="0.3">
      <c r="A75" s="8">
        <f t="shared" si="0"/>
        <v>74</v>
      </c>
      <c r="B75" s="172">
        <v>1200003722</v>
      </c>
      <c r="C75" s="172">
        <v>4000000616</v>
      </c>
      <c r="D75" s="173" t="s">
        <v>782</v>
      </c>
      <c r="E75" s="174" t="s">
        <v>346</v>
      </c>
      <c r="F75" s="172">
        <v>1</v>
      </c>
      <c r="G75" s="159">
        <f t="shared" si="3"/>
        <v>55575</v>
      </c>
      <c r="H75" s="160">
        <f t="shared" si="4"/>
        <v>55575</v>
      </c>
      <c r="I75" s="171">
        <v>390</v>
      </c>
      <c r="J75" s="171">
        <v>390</v>
      </c>
      <c r="K75" s="165"/>
      <c r="L75" s="166"/>
    </row>
    <row r="76" spans="1:13" s="109" customFormat="1" ht="28.8" x14ac:dyDescent="0.3">
      <c r="A76" s="8">
        <f t="shared" si="0"/>
        <v>75</v>
      </c>
      <c r="B76" s="172">
        <v>1200003722</v>
      </c>
      <c r="C76" s="172">
        <v>4000000617</v>
      </c>
      <c r="D76" s="173" t="s">
        <v>783</v>
      </c>
      <c r="E76" s="174" t="s">
        <v>346</v>
      </c>
      <c r="F76" s="172">
        <v>1</v>
      </c>
      <c r="G76" s="159">
        <f t="shared" si="3"/>
        <v>55575</v>
      </c>
      <c r="H76" s="160">
        <f t="shared" si="4"/>
        <v>55575</v>
      </c>
      <c r="I76" s="171">
        <v>390</v>
      </c>
      <c r="J76" s="171">
        <v>390</v>
      </c>
      <c r="K76" s="165"/>
      <c r="L76" s="166"/>
    </row>
    <row r="77" spans="1:13" s="109" customFormat="1" ht="28.8" x14ac:dyDescent="0.3">
      <c r="A77" s="8">
        <f t="shared" si="0"/>
        <v>76</v>
      </c>
      <c r="B77" s="172">
        <v>1200003722</v>
      </c>
      <c r="C77" s="172">
        <v>4000020080</v>
      </c>
      <c r="D77" s="173" t="s">
        <v>784</v>
      </c>
      <c r="E77" s="174" t="s">
        <v>346</v>
      </c>
      <c r="F77" s="172">
        <v>1</v>
      </c>
      <c r="G77" s="159">
        <f t="shared" si="3"/>
        <v>38475</v>
      </c>
      <c r="H77" s="160">
        <f t="shared" si="4"/>
        <v>38475</v>
      </c>
      <c r="I77" s="171">
        <v>270</v>
      </c>
      <c r="J77" s="171">
        <v>270</v>
      </c>
      <c r="K77" s="165"/>
      <c r="L77" s="166"/>
    </row>
    <row r="78" spans="1:13" s="109" customFormat="1" ht="28.8" x14ac:dyDescent="0.3">
      <c r="A78" s="8">
        <f t="shared" si="0"/>
        <v>77</v>
      </c>
      <c r="B78" s="172">
        <v>1200003722</v>
      </c>
      <c r="C78" s="172">
        <v>4000020081</v>
      </c>
      <c r="D78" s="173" t="s">
        <v>785</v>
      </c>
      <c r="E78" s="174" t="s">
        <v>345</v>
      </c>
      <c r="F78" s="172">
        <v>1</v>
      </c>
      <c r="G78" s="159">
        <f t="shared" si="3"/>
        <v>0</v>
      </c>
      <c r="H78" s="160">
        <f t="shared" si="4"/>
        <v>0</v>
      </c>
      <c r="I78"/>
      <c r="J78" s="170"/>
      <c r="K78" t="s">
        <v>789</v>
      </c>
      <c r="L78" t="s">
        <v>790</v>
      </c>
      <c r="M78"/>
    </row>
    <row r="79" spans="1:13" s="109" customFormat="1" ht="14.4" x14ac:dyDescent="0.3">
      <c r="A79" s="8">
        <f t="shared" si="0"/>
        <v>78</v>
      </c>
      <c r="B79" s="172">
        <v>1200003722</v>
      </c>
      <c r="C79" s="172">
        <v>7000003931</v>
      </c>
      <c r="D79" s="173" t="s">
        <v>786</v>
      </c>
      <c r="E79" s="174" t="s">
        <v>345</v>
      </c>
      <c r="F79" s="172">
        <v>2</v>
      </c>
      <c r="G79" s="159">
        <f>I79</f>
        <v>148000</v>
      </c>
      <c r="H79" s="160">
        <f t="shared" si="4"/>
        <v>296000</v>
      </c>
      <c r="I79" s="175">
        <v>148000</v>
      </c>
      <c r="J79" s="175">
        <v>148000</v>
      </c>
      <c r="K79"/>
      <c r="L79" t="s">
        <v>790</v>
      </c>
      <c r="M79"/>
    </row>
    <row r="80" spans="1:13" s="109" customFormat="1" ht="28.8" x14ac:dyDescent="0.3">
      <c r="A80" s="8">
        <f t="shared" si="0"/>
        <v>79</v>
      </c>
      <c r="B80" s="172">
        <v>1200003722</v>
      </c>
      <c r="C80" s="172">
        <v>4000018076</v>
      </c>
      <c r="D80" s="173" t="s">
        <v>787</v>
      </c>
      <c r="E80" s="174" t="s">
        <v>346</v>
      </c>
      <c r="F80" s="172">
        <v>24</v>
      </c>
      <c r="G80" s="159">
        <f t="shared" si="3"/>
        <v>17100</v>
      </c>
      <c r="H80" s="160">
        <f t="shared" si="4"/>
        <v>410400</v>
      </c>
      <c r="I80" s="170">
        <v>120</v>
      </c>
      <c r="J80" s="170">
        <v>120</v>
      </c>
      <c r="K80"/>
      <c r="L80" t="s">
        <v>790</v>
      </c>
      <c r="M80"/>
    </row>
    <row r="81" spans="1:13" s="109" customFormat="1" ht="28.8" x14ac:dyDescent="0.3">
      <c r="A81" s="8">
        <f t="shared" si="0"/>
        <v>80</v>
      </c>
      <c r="B81" s="172">
        <v>1200003722</v>
      </c>
      <c r="C81" s="172">
        <v>4000018077</v>
      </c>
      <c r="D81" s="173" t="s">
        <v>788</v>
      </c>
      <c r="E81" s="174" t="s">
        <v>346</v>
      </c>
      <c r="F81" s="172">
        <v>36</v>
      </c>
      <c r="G81" s="159">
        <f t="shared" si="3"/>
        <v>17100</v>
      </c>
      <c r="H81" s="160">
        <f t="shared" si="4"/>
        <v>615600</v>
      </c>
      <c r="I81" s="170">
        <v>120</v>
      </c>
      <c r="J81" s="170">
        <v>120</v>
      </c>
      <c r="K81"/>
      <c r="L81" t="s">
        <v>790</v>
      </c>
      <c r="M81"/>
    </row>
    <row r="82" spans="1:13" s="109" customFormat="1" x14ac:dyDescent="0.3">
      <c r="A82" s="8">
        <f t="shared" si="0"/>
        <v>81</v>
      </c>
      <c r="B82" s="168"/>
      <c r="C82" s="273" t="s">
        <v>154</v>
      </c>
      <c r="D82" s="273"/>
      <c r="E82" s="273"/>
      <c r="F82" s="273"/>
      <c r="G82" s="273"/>
      <c r="H82" s="160">
        <f>SUM(H2:H81)</f>
        <v>4784750</v>
      </c>
      <c r="I82" s="164"/>
      <c r="J82" s="167"/>
      <c r="K82" s="165"/>
      <c r="L82" s="166"/>
    </row>
    <row r="83" spans="1:13" x14ac:dyDescent="0.3">
      <c r="A83" s="8">
        <f t="shared" si="0"/>
        <v>82</v>
      </c>
      <c r="B83" s="8"/>
      <c r="C83" s="273" t="s">
        <v>99</v>
      </c>
      <c r="D83" s="273"/>
      <c r="E83" s="273"/>
      <c r="F83" s="273"/>
      <c r="G83" s="273"/>
      <c r="H83" s="161">
        <f>H82*18%</f>
        <v>861255</v>
      </c>
      <c r="I83" s="2"/>
      <c r="J83" s="2"/>
      <c r="K83" s="2"/>
    </row>
    <row r="84" spans="1:13" x14ac:dyDescent="0.3">
      <c r="A84" s="8">
        <f t="shared" si="0"/>
        <v>83</v>
      </c>
      <c r="B84" s="8"/>
      <c r="C84" s="273" t="s">
        <v>9</v>
      </c>
      <c r="D84" s="273"/>
      <c r="E84" s="273"/>
      <c r="F84" s="273"/>
      <c r="G84" s="273"/>
      <c r="H84" s="161">
        <f>SUM(H82:H83)</f>
        <v>5646005</v>
      </c>
      <c r="I84" s="2"/>
      <c r="J84" s="2"/>
      <c r="K84" s="2"/>
    </row>
    <row r="85" spans="1:13" s="6" customFormat="1" ht="141" customHeight="1" x14ac:dyDescent="0.3">
      <c r="A85" s="162" t="s">
        <v>570</v>
      </c>
      <c r="B85" s="272" t="s">
        <v>571</v>
      </c>
      <c r="C85" s="272"/>
      <c r="D85" s="272"/>
      <c r="E85" s="272"/>
      <c r="F85" s="272"/>
      <c r="G85" s="272"/>
      <c r="H85" s="272"/>
      <c r="I85" s="12"/>
      <c r="J85" s="2"/>
    </row>
  </sheetData>
  <mergeCells count="4">
    <mergeCell ref="C82:G82"/>
    <mergeCell ref="C83:G83"/>
    <mergeCell ref="C84:G84"/>
    <mergeCell ref="B85:H85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CC84-ACF9-453A-9947-B6603207EF9C}">
  <dimension ref="A1:L32"/>
  <sheetViews>
    <sheetView topLeftCell="A19" zoomScaleNormal="100" workbookViewId="0">
      <selection activeCell="J32" sqref="J32"/>
    </sheetView>
  </sheetViews>
  <sheetFormatPr defaultColWidth="9.109375" defaultRowHeight="13.8" x14ac:dyDescent="0.3"/>
  <cols>
    <col min="1" max="1" width="6.109375" style="13" customWidth="1"/>
    <col min="2" max="2" width="14.5546875" style="13" bestFit="1" customWidth="1"/>
    <col min="3" max="3" width="16.88671875" style="6" customWidth="1"/>
    <col min="4" max="4" width="50.6640625" style="6" customWidth="1"/>
    <col min="5" max="5" width="5.88671875" style="14" bestFit="1" customWidth="1"/>
    <col min="6" max="6" width="5.33203125" style="14" customWidth="1"/>
    <col min="7" max="7" width="13.33203125" style="14" customWidth="1"/>
    <col min="8" max="8" width="13.33203125" style="14" bestFit="1" customWidth="1"/>
    <col min="9" max="10" width="13.33203125" style="112" bestFit="1" customWidth="1"/>
    <col min="11" max="11" width="18.6640625" style="112" bestFit="1" customWidth="1"/>
    <col min="12" max="12" width="13.44140625" style="14" bestFit="1" customWidth="1"/>
    <col min="13" max="13" width="13.6640625" style="14" bestFit="1" customWidth="1"/>
    <col min="14" max="16384" width="9.109375" style="14"/>
  </cols>
  <sheetData>
    <row r="1" spans="1:12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/>
    </row>
    <row r="2" spans="1:12" s="109" customFormat="1" ht="28.8" x14ac:dyDescent="0.3">
      <c r="A2" s="8">
        <f t="shared" ref="A2:A31" si="0">ROW()-1</f>
        <v>1</v>
      </c>
      <c r="B2" s="172">
        <v>1200003735</v>
      </c>
      <c r="C2" s="172">
        <v>4000020204</v>
      </c>
      <c r="D2" s="173" t="s">
        <v>791</v>
      </c>
      <c r="E2" s="172" t="s">
        <v>346</v>
      </c>
      <c r="F2" s="172">
        <v>2</v>
      </c>
      <c r="G2" s="159">
        <f t="shared" ref="G2:G28" si="1">I2*95*1.5</f>
        <v>2850</v>
      </c>
      <c r="H2" s="160">
        <f t="shared" ref="H2:H28" si="2">G2*F2</f>
        <v>5700</v>
      </c>
      <c r="I2" s="171">
        <v>20</v>
      </c>
      <c r="J2" s="171">
        <v>20</v>
      </c>
      <c r="K2" s="165"/>
      <c r="L2" s="166"/>
    </row>
    <row r="3" spans="1:12" s="109" customFormat="1" ht="28.8" x14ac:dyDescent="0.3">
      <c r="A3" s="8">
        <f t="shared" si="0"/>
        <v>2</v>
      </c>
      <c r="B3" s="172">
        <v>1200003735</v>
      </c>
      <c r="C3" s="172">
        <v>4000020205</v>
      </c>
      <c r="D3" s="173" t="s">
        <v>792</v>
      </c>
      <c r="E3" s="172" t="s">
        <v>346</v>
      </c>
      <c r="F3" s="172">
        <v>2</v>
      </c>
      <c r="G3" s="159">
        <f t="shared" si="1"/>
        <v>2850</v>
      </c>
      <c r="H3" s="160">
        <f t="shared" si="2"/>
        <v>5700</v>
      </c>
      <c r="I3" s="171">
        <v>20</v>
      </c>
      <c r="J3" s="171">
        <v>20</v>
      </c>
      <c r="K3" s="165"/>
      <c r="L3" s="166"/>
    </row>
    <row r="4" spans="1:12" s="109" customFormat="1" ht="28.8" x14ac:dyDescent="0.3">
      <c r="A4" s="8">
        <f t="shared" si="0"/>
        <v>3</v>
      </c>
      <c r="B4" s="172">
        <v>1200003735</v>
      </c>
      <c r="C4" s="172">
        <v>4000020206</v>
      </c>
      <c r="D4" s="173" t="s">
        <v>793</v>
      </c>
      <c r="E4" s="172" t="s">
        <v>346</v>
      </c>
      <c r="F4" s="172">
        <v>2</v>
      </c>
      <c r="G4" s="159">
        <f t="shared" si="1"/>
        <v>8550</v>
      </c>
      <c r="H4" s="160">
        <f t="shared" si="2"/>
        <v>17100</v>
      </c>
      <c r="I4" s="171">
        <v>60</v>
      </c>
      <c r="J4" s="171">
        <v>60</v>
      </c>
      <c r="K4" s="165"/>
      <c r="L4" s="166"/>
    </row>
    <row r="5" spans="1:12" s="109" customFormat="1" ht="28.8" x14ac:dyDescent="0.3">
      <c r="A5" s="8">
        <f t="shared" si="0"/>
        <v>4</v>
      </c>
      <c r="B5" s="172">
        <v>1200003735</v>
      </c>
      <c r="C5" s="172">
        <v>4000000912</v>
      </c>
      <c r="D5" s="173" t="s">
        <v>794</v>
      </c>
      <c r="E5" s="172" t="s">
        <v>346</v>
      </c>
      <c r="F5" s="172">
        <v>32</v>
      </c>
      <c r="G5" s="159">
        <f t="shared" si="1"/>
        <v>4987.5</v>
      </c>
      <c r="H5" s="160">
        <f t="shared" si="2"/>
        <v>159600</v>
      </c>
      <c r="I5" s="171">
        <v>35</v>
      </c>
      <c r="J5" s="171">
        <v>35</v>
      </c>
      <c r="K5" s="165"/>
      <c r="L5" s="166"/>
    </row>
    <row r="6" spans="1:12" s="109" customFormat="1" ht="28.8" x14ac:dyDescent="0.3">
      <c r="A6" s="8">
        <f t="shared" si="0"/>
        <v>5</v>
      </c>
      <c r="B6" s="172">
        <v>1200003735</v>
      </c>
      <c r="C6" s="172">
        <v>4000000910</v>
      </c>
      <c r="D6" s="173" t="s">
        <v>795</v>
      </c>
      <c r="E6" s="172" t="s">
        <v>346</v>
      </c>
      <c r="F6" s="172">
        <v>62</v>
      </c>
      <c r="G6" s="159">
        <f t="shared" si="1"/>
        <v>2850</v>
      </c>
      <c r="H6" s="160">
        <f t="shared" si="2"/>
        <v>176700</v>
      </c>
      <c r="I6" s="171">
        <v>20</v>
      </c>
      <c r="J6" s="171">
        <v>20</v>
      </c>
      <c r="K6" s="165"/>
      <c r="L6" s="166"/>
    </row>
    <row r="7" spans="1:12" s="109" customFormat="1" ht="43.2" x14ac:dyDescent="0.3">
      <c r="A7" s="8">
        <f t="shared" si="0"/>
        <v>6</v>
      </c>
      <c r="B7" s="172">
        <v>1200003735</v>
      </c>
      <c r="C7" s="172">
        <v>4000020207</v>
      </c>
      <c r="D7" s="173" t="s">
        <v>796</v>
      </c>
      <c r="E7" s="172" t="s">
        <v>346</v>
      </c>
      <c r="F7" s="172">
        <v>62</v>
      </c>
      <c r="G7" s="159">
        <f t="shared" si="1"/>
        <v>1425</v>
      </c>
      <c r="H7" s="160">
        <f t="shared" si="2"/>
        <v>88350</v>
      </c>
      <c r="I7" s="171">
        <v>10</v>
      </c>
      <c r="J7" s="171">
        <v>10</v>
      </c>
      <c r="K7" s="165"/>
      <c r="L7" s="166"/>
    </row>
    <row r="8" spans="1:12" s="109" customFormat="1" ht="43.2" x14ac:dyDescent="0.3">
      <c r="A8" s="8">
        <f t="shared" si="0"/>
        <v>7</v>
      </c>
      <c r="B8" s="172">
        <v>1200003735</v>
      </c>
      <c r="C8" s="172">
        <v>4000020209</v>
      </c>
      <c r="D8" s="173" t="s">
        <v>797</v>
      </c>
      <c r="E8" s="172" t="s">
        <v>346</v>
      </c>
      <c r="F8" s="172">
        <v>62</v>
      </c>
      <c r="G8" s="159">
        <f t="shared" si="1"/>
        <v>1425</v>
      </c>
      <c r="H8" s="160">
        <f t="shared" si="2"/>
        <v>88350</v>
      </c>
      <c r="I8" s="171">
        <v>10</v>
      </c>
      <c r="J8" s="171">
        <v>10</v>
      </c>
      <c r="K8" s="165"/>
      <c r="L8" s="166"/>
    </row>
    <row r="9" spans="1:12" s="109" customFormat="1" ht="28.8" x14ac:dyDescent="0.3">
      <c r="A9" s="8">
        <f t="shared" si="0"/>
        <v>8</v>
      </c>
      <c r="B9" s="172">
        <v>1200003735</v>
      </c>
      <c r="C9" s="172">
        <v>4000006738</v>
      </c>
      <c r="D9" s="173" t="s">
        <v>798</v>
      </c>
      <c r="E9" s="172" t="s">
        <v>346</v>
      </c>
      <c r="F9" s="172">
        <v>1</v>
      </c>
      <c r="G9" s="159">
        <f t="shared" si="1"/>
        <v>19950</v>
      </c>
      <c r="H9" s="160">
        <f t="shared" si="2"/>
        <v>19950</v>
      </c>
      <c r="I9" s="171">
        <v>140</v>
      </c>
      <c r="J9" s="171">
        <v>140</v>
      </c>
      <c r="K9" s="165"/>
      <c r="L9" s="166"/>
    </row>
    <row r="10" spans="1:12" s="109" customFormat="1" ht="28.8" x14ac:dyDescent="0.3">
      <c r="A10" s="8">
        <f t="shared" si="0"/>
        <v>9</v>
      </c>
      <c r="B10" s="172">
        <v>1200003735</v>
      </c>
      <c r="C10" s="172">
        <v>4000020210</v>
      </c>
      <c r="D10" s="173" t="s">
        <v>799</v>
      </c>
      <c r="E10" s="172" t="s">
        <v>346</v>
      </c>
      <c r="F10" s="172">
        <v>1</v>
      </c>
      <c r="G10" s="159">
        <f t="shared" si="1"/>
        <v>498750</v>
      </c>
      <c r="H10" s="160">
        <f t="shared" si="2"/>
        <v>498750</v>
      </c>
      <c r="I10" s="171">
        <v>3500</v>
      </c>
      <c r="J10" s="171">
        <v>3500</v>
      </c>
      <c r="K10" s="165"/>
      <c r="L10" s="166"/>
    </row>
    <row r="11" spans="1:12" s="109" customFormat="1" ht="28.8" x14ac:dyDescent="0.3">
      <c r="A11" s="8">
        <f t="shared" si="0"/>
        <v>10</v>
      </c>
      <c r="B11" s="172">
        <v>1200003735</v>
      </c>
      <c r="C11" s="172">
        <v>4000006743</v>
      </c>
      <c r="D11" s="173" t="s">
        <v>800</v>
      </c>
      <c r="E11" s="172" t="s">
        <v>346</v>
      </c>
      <c r="F11" s="172">
        <v>1</v>
      </c>
      <c r="G11" s="159">
        <f t="shared" si="1"/>
        <v>374775</v>
      </c>
      <c r="H11" s="160">
        <f t="shared" si="2"/>
        <v>374775</v>
      </c>
      <c r="I11" s="171">
        <v>2630</v>
      </c>
      <c r="J11" s="171">
        <v>2630</v>
      </c>
      <c r="K11" s="165"/>
      <c r="L11" s="166"/>
    </row>
    <row r="12" spans="1:12" s="109" customFormat="1" ht="28.8" x14ac:dyDescent="0.3">
      <c r="A12" s="8">
        <f t="shared" si="0"/>
        <v>11</v>
      </c>
      <c r="B12" s="172">
        <v>1200003735</v>
      </c>
      <c r="C12" s="172">
        <v>4000020211</v>
      </c>
      <c r="D12" s="173" t="s">
        <v>801</v>
      </c>
      <c r="E12" s="172" t="s">
        <v>346</v>
      </c>
      <c r="F12" s="172">
        <v>2</v>
      </c>
      <c r="G12" s="159">
        <f t="shared" si="1"/>
        <v>12825</v>
      </c>
      <c r="H12" s="160">
        <f t="shared" si="2"/>
        <v>25650</v>
      </c>
      <c r="I12" s="171">
        <v>90</v>
      </c>
      <c r="J12" s="171">
        <v>90</v>
      </c>
      <c r="K12" s="165"/>
      <c r="L12" s="166"/>
    </row>
    <row r="13" spans="1:12" s="109" customFormat="1" ht="28.8" x14ac:dyDescent="0.3">
      <c r="A13" s="8">
        <f t="shared" si="0"/>
        <v>12</v>
      </c>
      <c r="B13" s="172">
        <v>1200003735</v>
      </c>
      <c r="C13" s="172">
        <v>4000020212</v>
      </c>
      <c r="D13" s="173" t="s">
        <v>802</v>
      </c>
      <c r="E13" s="172" t="s">
        <v>346</v>
      </c>
      <c r="F13" s="172">
        <v>4</v>
      </c>
      <c r="G13" s="159">
        <f t="shared" si="1"/>
        <v>1140</v>
      </c>
      <c r="H13" s="160">
        <f t="shared" si="2"/>
        <v>4560</v>
      </c>
      <c r="I13" s="171">
        <v>8</v>
      </c>
      <c r="J13" s="171">
        <v>8</v>
      </c>
      <c r="K13" s="165"/>
      <c r="L13" s="166"/>
    </row>
    <row r="14" spans="1:12" s="109" customFormat="1" ht="28.8" x14ac:dyDescent="0.3">
      <c r="A14" s="8">
        <f t="shared" si="0"/>
        <v>13</v>
      </c>
      <c r="B14" s="172">
        <v>1200003735</v>
      </c>
      <c r="C14" s="172">
        <v>4000020213</v>
      </c>
      <c r="D14" s="173" t="s">
        <v>803</v>
      </c>
      <c r="E14" s="172" t="s">
        <v>346</v>
      </c>
      <c r="F14" s="172">
        <v>1</v>
      </c>
      <c r="G14" s="159">
        <f t="shared" si="1"/>
        <v>4275</v>
      </c>
      <c r="H14" s="160">
        <f t="shared" si="2"/>
        <v>4275</v>
      </c>
      <c r="I14" s="171">
        <v>30</v>
      </c>
      <c r="J14" s="171">
        <v>30</v>
      </c>
      <c r="K14" s="165"/>
      <c r="L14" s="166"/>
    </row>
    <row r="15" spans="1:12" s="109" customFormat="1" ht="28.8" x14ac:dyDescent="0.3">
      <c r="A15" s="8">
        <f t="shared" si="0"/>
        <v>14</v>
      </c>
      <c r="B15" s="172">
        <v>1200003735</v>
      </c>
      <c r="C15" s="172">
        <v>4000020214</v>
      </c>
      <c r="D15" s="173" t="s">
        <v>804</v>
      </c>
      <c r="E15" s="172" t="s">
        <v>346</v>
      </c>
      <c r="F15" s="172">
        <v>2</v>
      </c>
      <c r="G15" s="159">
        <f t="shared" si="1"/>
        <v>71250</v>
      </c>
      <c r="H15" s="160">
        <f t="shared" si="2"/>
        <v>142500</v>
      </c>
      <c r="I15" s="171">
        <v>500</v>
      </c>
      <c r="J15" s="171">
        <v>500</v>
      </c>
      <c r="K15" s="165"/>
      <c r="L15" s="166"/>
    </row>
    <row r="16" spans="1:12" s="109" customFormat="1" ht="28.8" x14ac:dyDescent="0.3">
      <c r="A16" s="8">
        <f t="shared" si="0"/>
        <v>15</v>
      </c>
      <c r="B16" s="172">
        <v>1200003735</v>
      </c>
      <c r="C16" s="172">
        <v>4000020215</v>
      </c>
      <c r="D16" s="173" t="s">
        <v>805</v>
      </c>
      <c r="E16" s="172" t="s">
        <v>346</v>
      </c>
      <c r="F16" s="172">
        <v>2</v>
      </c>
      <c r="G16" s="159">
        <f t="shared" si="1"/>
        <v>427.5</v>
      </c>
      <c r="H16" s="160">
        <f t="shared" si="2"/>
        <v>855</v>
      </c>
      <c r="I16" s="171">
        <v>3</v>
      </c>
      <c r="J16" s="171">
        <v>3</v>
      </c>
      <c r="K16" s="165"/>
      <c r="L16" s="166"/>
    </row>
    <row r="17" spans="1:12" s="109" customFormat="1" ht="28.8" x14ac:dyDescent="0.3">
      <c r="A17" s="8">
        <f t="shared" si="0"/>
        <v>16</v>
      </c>
      <c r="B17" s="172">
        <v>1200003735</v>
      </c>
      <c r="C17" s="172">
        <v>4000020216</v>
      </c>
      <c r="D17" s="173" t="s">
        <v>806</v>
      </c>
      <c r="E17" s="172" t="s">
        <v>346</v>
      </c>
      <c r="F17" s="172">
        <v>4</v>
      </c>
      <c r="G17" s="159">
        <f t="shared" si="1"/>
        <v>7125</v>
      </c>
      <c r="H17" s="160">
        <f t="shared" si="2"/>
        <v>28500</v>
      </c>
      <c r="I17" s="171">
        <v>50</v>
      </c>
      <c r="J17" s="171">
        <v>50</v>
      </c>
      <c r="K17" s="165"/>
      <c r="L17" s="166"/>
    </row>
    <row r="18" spans="1:12" s="109" customFormat="1" ht="28.8" x14ac:dyDescent="0.3">
      <c r="A18" s="8">
        <f t="shared" si="0"/>
        <v>17</v>
      </c>
      <c r="B18" s="172">
        <v>1200003735</v>
      </c>
      <c r="C18" s="172">
        <v>4000006737</v>
      </c>
      <c r="D18" s="173" t="s">
        <v>807</v>
      </c>
      <c r="E18" s="172" t="s">
        <v>346</v>
      </c>
      <c r="F18" s="172">
        <v>1</v>
      </c>
      <c r="G18" s="159">
        <f t="shared" si="1"/>
        <v>250800</v>
      </c>
      <c r="H18" s="160">
        <f t="shared" si="2"/>
        <v>250800</v>
      </c>
      <c r="I18" s="171">
        <v>1760</v>
      </c>
      <c r="J18" s="171">
        <v>1760</v>
      </c>
      <c r="K18" s="165"/>
      <c r="L18" s="166"/>
    </row>
    <row r="19" spans="1:12" s="109" customFormat="1" ht="28.8" x14ac:dyDescent="0.3">
      <c r="A19" s="8">
        <f t="shared" si="0"/>
        <v>18</v>
      </c>
      <c r="B19" s="172">
        <v>1200003735</v>
      </c>
      <c r="C19" s="172">
        <v>4000006741</v>
      </c>
      <c r="D19" s="173" t="s">
        <v>808</v>
      </c>
      <c r="E19" s="172" t="s">
        <v>346</v>
      </c>
      <c r="F19" s="172">
        <v>1</v>
      </c>
      <c r="G19" s="159">
        <f t="shared" si="1"/>
        <v>19950</v>
      </c>
      <c r="H19" s="160">
        <f t="shared" si="2"/>
        <v>19950</v>
      </c>
      <c r="I19" s="171">
        <v>140</v>
      </c>
      <c r="J19" s="171">
        <v>140</v>
      </c>
      <c r="K19" s="165"/>
      <c r="L19" s="166"/>
    </row>
    <row r="20" spans="1:12" s="109" customFormat="1" ht="28.8" x14ac:dyDescent="0.3">
      <c r="A20" s="8">
        <f t="shared" si="0"/>
        <v>19</v>
      </c>
      <c r="B20" s="172">
        <v>1200003735</v>
      </c>
      <c r="C20" s="172">
        <v>4000020217</v>
      </c>
      <c r="D20" s="173" t="s">
        <v>809</v>
      </c>
      <c r="E20" s="172" t="s">
        <v>346</v>
      </c>
      <c r="F20" s="172">
        <v>3</v>
      </c>
      <c r="G20" s="159">
        <f t="shared" si="1"/>
        <v>2850</v>
      </c>
      <c r="H20" s="160">
        <f t="shared" si="2"/>
        <v>8550</v>
      </c>
      <c r="I20" s="171">
        <v>20</v>
      </c>
      <c r="J20" s="171">
        <v>20</v>
      </c>
      <c r="K20" s="165"/>
      <c r="L20" s="166"/>
    </row>
    <row r="21" spans="1:12" s="109" customFormat="1" ht="28.8" x14ac:dyDescent="0.3">
      <c r="A21" s="8">
        <f t="shared" si="0"/>
        <v>20</v>
      </c>
      <c r="B21" s="172">
        <v>1200003735</v>
      </c>
      <c r="C21" s="172">
        <v>4000020218</v>
      </c>
      <c r="D21" s="173" t="s">
        <v>810</v>
      </c>
      <c r="E21" s="172" t="s">
        <v>346</v>
      </c>
      <c r="F21" s="172">
        <v>1</v>
      </c>
      <c r="G21" s="159">
        <f t="shared" si="1"/>
        <v>71250</v>
      </c>
      <c r="H21" s="160">
        <f t="shared" si="2"/>
        <v>71250</v>
      </c>
      <c r="I21" s="171">
        <v>500</v>
      </c>
      <c r="J21" s="171">
        <v>500</v>
      </c>
      <c r="K21" s="165"/>
      <c r="L21" s="166"/>
    </row>
    <row r="22" spans="1:12" s="109" customFormat="1" ht="28.8" x14ac:dyDescent="0.3">
      <c r="A22" s="8">
        <f t="shared" si="0"/>
        <v>21</v>
      </c>
      <c r="B22" s="172">
        <v>1200003735</v>
      </c>
      <c r="C22" s="172">
        <v>4000020219</v>
      </c>
      <c r="D22" s="173" t="s">
        <v>811</v>
      </c>
      <c r="E22" s="172" t="s">
        <v>346</v>
      </c>
      <c r="F22" s="172">
        <v>1</v>
      </c>
      <c r="G22" s="159">
        <f t="shared" si="1"/>
        <v>19950</v>
      </c>
      <c r="H22" s="160">
        <f t="shared" si="2"/>
        <v>19950</v>
      </c>
      <c r="I22" s="171">
        <v>140</v>
      </c>
      <c r="J22" s="171">
        <v>140</v>
      </c>
      <c r="K22" s="165"/>
      <c r="L22" s="166"/>
    </row>
    <row r="23" spans="1:12" s="109" customFormat="1" ht="28.8" x14ac:dyDescent="0.3">
      <c r="A23" s="8">
        <f t="shared" si="0"/>
        <v>22</v>
      </c>
      <c r="B23" s="172">
        <v>1200003735</v>
      </c>
      <c r="C23" s="172">
        <v>4000020217</v>
      </c>
      <c r="D23" s="173" t="s">
        <v>812</v>
      </c>
      <c r="E23" s="172" t="s">
        <v>346</v>
      </c>
      <c r="F23" s="172">
        <v>1</v>
      </c>
      <c r="G23" s="159">
        <f t="shared" si="1"/>
        <v>2850</v>
      </c>
      <c r="H23" s="160">
        <f t="shared" si="2"/>
        <v>2850</v>
      </c>
      <c r="I23" s="171">
        <v>20</v>
      </c>
      <c r="J23" s="171">
        <v>20</v>
      </c>
      <c r="K23" s="165"/>
      <c r="L23" s="166"/>
    </row>
    <row r="24" spans="1:12" s="109" customFormat="1" ht="28.8" x14ac:dyDescent="0.3">
      <c r="A24" s="8">
        <f t="shared" si="0"/>
        <v>23</v>
      </c>
      <c r="B24" s="172">
        <v>1200003735</v>
      </c>
      <c r="C24" s="172">
        <v>4000020218</v>
      </c>
      <c r="D24" s="173" t="s">
        <v>813</v>
      </c>
      <c r="E24" s="172" t="s">
        <v>346</v>
      </c>
      <c r="F24" s="172">
        <v>1</v>
      </c>
      <c r="G24" s="159">
        <f t="shared" si="1"/>
        <v>71250</v>
      </c>
      <c r="H24" s="160">
        <f t="shared" si="2"/>
        <v>71250</v>
      </c>
      <c r="I24" s="171">
        <v>500</v>
      </c>
      <c r="J24" s="171">
        <v>500</v>
      </c>
      <c r="K24" s="165"/>
      <c r="L24" s="166"/>
    </row>
    <row r="25" spans="1:12" s="109" customFormat="1" ht="28.8" x14ac:dyDescent="0.3">
      <c r="A25" s="8">
        <f t="shared" si="0"/>
        <v>24</v>
      </c>
      <c r="B25" s="172">
        <v>1200003735</v>
      </c>
      <c r="C25" s="172">
        <v>4000020219</v>
      </c>
      <c r="D25" s="173" t="s">
        <v>814</v>
      </c>
      <c r="E25" s="172" t="s">
        <v>346</v>
      </c>
      <c r="F25" s="172">
        <v>1</v>
      </c>
      <c r="G25" s="159">
        <f t="shared" si="1"/>
        <v>19950</v>
      </c>
      <c r="H25" s="160">
        <f t="shared" si="2"/>
        <v>19950</v>
      </c>
      <c r="I25" s="171">
        <v>140</v>
      </c>
      <c r="J25" s="171">
        <v>140</v>
      </c>
      <c r="K25" s="165"/>
      <c r="L25" s="166"/>
    </row>
    <row r="26" spans="1:12" s="109" customFormat="1" ht="28.8" x14ac:dyDescent="0.3">
      <c r="A26" s="8">
        <f t="shared" si="0"/>
        <v>25</v>
      </c>
      <c r="B26" s="172">
        <v>1200003735</v>
      </c>
      <c r="C26" s="172">
        <v>4000020217</v>
      </c>
      <c r="D26" s="173" t="s">
        <v>815</v>
      </c>
      <c r="E26" s="172" t="s">
        <v>346</v>
      </c>
      <c r="F26" s="172">
        <v>18</v>
      </c>
      <c r="G26" s="159">
        <f t="shared" si="1"/>
        <v>2850</v>
      </c>
      <c r="H26" s="160">
        <f t="shared" si="2"/>
        <v>51300</v>
      </c>
      <c r="I26" s="171">
        <v>20</v>
      </c>
      <c r="J26" s="171">
        <v>20</v>
      </c>
      <c r="K26" s="165"/>
      <c r="L26" s="166"/>
    </row>
    <row r="27" spans="1:12" s="109" customFormat="1" ht="28.8" x14ac:dyDescent="0.3">
      <c r="A27" s="8">
        <f t="shared" si="0"/>
        <v>26</v>
      </c>
      <c r="B27" s="172">
        <v>1200003735</v>
      </c>
      <c r="C27" s="172">
        <v>4000020218</v>
      </c>
      <c r="D27" s="173" t="s">
        <v>816</v>
      </c>
      <c r="E27" s="172" t="s">
        <v>346</v>
      </c>
      <c r="F27" s="172">
        <v>30</v>
      </c>
      <c r="G27" s="159">
        <f t="shared" si="1"/>
        <v>71250</v>
      </c>
      <c r="H27" s="160">
        <f t="shared" si="2"/>
        <v>2137500</v>
      </c>
      <c r="I27" s="171">
        <v>500</v>
      </c>
      <c r="J27" s="171">
        <v>500</v>
      </c>
      <c r="K27" s="165"/>
      <c r="L27" s="166"/>
    </row>
    <row r="28" spans="1:12" s="109" customFormat="1" ht="28.8" x14ac:dyDescent="0.3">
      <c r="A28" s="8">
        <f t="shared" si="0"/>
        <v>27</v>
      </c>
      <c r="B28" s="172">
        <v>1200003735</v>
      </c>
      <c r="C28" s="172">
        <v>4000020225</v>
      </c>
      <c r="D28" s="173" t="s">
        <v>817</v>
      </c>
      <c r="E28" s="172" t="s">
        <v>346</v>
      </c>
      <c r="F28" s="172">
        <v>26</v>
      </c>
      <c r="G28" s="159">
        <f t="shared" si="1"/>
        <v>712.5</v>
      </c>
      <c r="H28" s="160">
        <f t="shared" si="2"/>
        <v>18525</v>
      </c>
      <c r="I28" s="171">
        <v>5</v>
      </c>
      <c r="J28" s="171">
        <v>5</v>
      </c>
      <c r="K28" s="165"/>
      <c r="L28" s="166"/>
    </row>
    <row r="29" spans="1:12" s="109" customFormat="1" x14ac:dyDescent="0.3">
      <c r="A29" s="8">
        <f t="shared" si="0"/>
        <v>28</v>
      </c>
      <c r="B29" s="168"/>
      <c r="C29" s="273" t="s">
        <v>154</v>
      </c>
      <c r="D29" s="273"/>
      <c r="E29" s="273"/>
      <c r="F29" s="273"/>
      <c r="G29" s="273"/>
      <c r="H29" s="160">
        <f>SUM(H2:H28)</f>
        <v>4313190</v>
      </c>
      <c r="I29" s="164"/>
      <c r="J29" s="167"/>
      <c r="K29" s="165"/>
      <c r="L29" s="166"/>
    </row>
    <row r="30" spans="1:12" x14ac:dyDescent="0.3">
      <c r="A30" s="8">
        <f t="shared" si="0"/>
        <v>29</v>
      </c>
      <c r="B30" s="8"/>
      <c r="C30" s="273" t="s">
        <v>99</v>
      </c>
      <c r="D30" s="273"/>
      <c r="E30" s="273"/>
      <c r="F30" s="273"/>
      <c r="G30" s="273"/>
      <c r="H30" s="161">
        <f>H29*18%</f>
        <v>776374.2</v>
      </c>
      <c r="I30" s="2"/>
      <c r="J30" s="2"/>
      <c r="K30" s="2"/>
    </row>
    <row r="31" spans="1:12" x14ac:dyDescent="0.3">
      <c r="A31" s="8">
        <f t="shared" si="0"/>
        <v>30</v>
      </c>
      <c r="B31" s="8"/>
      <c r="C31" s="273" t="s">
        <v>9</v>
      </c>
      <c r="D31" s="273"/>
      <c r="E31" s="273"/>
      <c r="F31" s="273"/>
      <c r="G31" s="273"/>
      <c r="H31" s="161">
        <f>SUM(H29:H30)</f>
        <v>5089564.2</v>
      </c>
      <c r="I31" s="2"/>
      <c r="J31" s="2"/>
      <c r="K31" s="2"/>
    </row>
    <row r="32" spans="1:12" s="6" customFormat="1" ht="141" customHeight="1" x14ac:dyDescent="0.3">
      <c r="A32" s="162" t="s">
        <v>570</v>
      </c>
      <c r="B32" s="272" t="s">
        <v>571</v>
      </c>
      <c r="C32" s="272"/>
      <c r="D32" s="272"/>
      <c r="E32" s="272"/>
      <c r="F32" s="272"/>
      <c r="G32" s="272"/>
      <c r="H32" s="272"/>
      <c r="I32" s="12"/>
      <c r="J32" s="2"/>
    </row>
  </sheetData>
  <mergeCells count="4">
    <mergeCell ref="C29:G29"/>
    <mergeCell ref="C30:G30"/>
    <mergeCell ref="C31:G31"/>
    <mergeCell ref="B32:H32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8986-BED3-4B99-BA9C-C623D0A42297}">
  <dimension ref="A1:N9"/>
  <sheetViews>
    <sheetView tabSelected="1" zoomScaleNormal="100" workbookViewId="0">
      <selection activeCell="M10" sqref="M10"/>
    </sheetView>
  </sheetViews>
  <sheetFormatPr defaultColWidth="9.109375" defaultRowHeight="13.8" x14ac:dyDescent="0.3"/>
  <cols>
    <col min="1" max="1" width="6.109375" style="13" customWidth="1"/>
    <col min="2" max="2" width="11" style="13" bestFit="1" customWidth="1"/>
    <col min="3" max="3" width="11.6640625" style="6" bestFit="1" customWidth="1"/>
    <col min="4" max="4" width="48.88671875" style="6" bestFit="1" customWidth="1"/>
    <col min="5" max="5" width="5.88671875" style="14" bestFit="1" customWidth="1"/>
    <col min="6" max="6" width="5.33203125" style="14" customWidth="1"/>
    <col min="7" max="7" width="11.5546875" style="14" bestFit="1" customWidth="1"/>
    <col min="8" max="8" width="15.6640625" style="14" customWidth="1"/>
    <col min="9" max="9" width="11" style="112" bestFit="1" customWidth="1"/>
    <col min="10" max="10" width="11.6640625" style="112" bestFit="1" customWidth="1"/>
    <col min="11" max="11" width="18.6640625" style="112" bestFit="1" customWidth="1"/>
    <col min="12" max="12" width="13.44140625" style="14" bestFit="1" customWidth="1"/>
    <col min="13" max="13" width="13.6640625" style="14" bestFit="1" customWidth="1"/>
    <col min="14" max="14" width="38.109375" style="14" customWidth="1"/>
    <col min="15" max="16384" width="9.109375" style="14"/>
  </cols>
  <sheetData>
    <row r="1" spans="1:14" s="109" customFormat="1" x14ac:dyDescent="0.3">
      <c r="A1" s="157" t="s">
        <v>516</v>
      </c>
      <c r="B1" s="157" t="s">
        <v>559</v>
      </c>
      <c r="C1" s="157" t="s">
        <v>579</v>
      </c>
      <c r="D1" s="157" t="s">
        <v>182</v>
      </c>
      <c r="E1" s="157" t="s">
        <v>2</v>
      </c>
      <c r="F1" s="157" t="s">
        <v>3</v>
      </c>
      <c r="G1" s="157" t="s">
        <v>6</v>
      </c>
      <c r="H1" s="157" t="s">
        <v>154</v>
      </c>
      <c r="I1" s="80" t="s">
        <v>61</v>
      </c>
      <c r="J1" s="80" t="s">
        <v>261</v>
      </c>
      <c r="K1" s="24" t="s">
        <v>153</v>
      </c>
      <c r="L1" s="109" t="s">
        <v>818</v>
      </c>
      <c r="N1" s="109" t="s">
        <v>153</v>
      </c>
    </row>
    <row r="2" spans="1:14" s="109" customFormat="1" ht="41.4" x14ac:dyDescent="0.3">
      <c r="A2" s="8">
        <f t="shared" ref="A2:A7" si="0">ROW()-1</f>
        <v>1</v>
      </c>
      <c r="B2" s="8">
        <v>1200002635</v>
      </c>
      <c r="C2" s="8">
        <v>6000000464</v>
      </c>
      <c r="D2" s="158" t="s">
        <v>665</v>
      </c>
      <c r="E2" s="8" t="s">
        <v>346</v>
      </c>
      <c r="F2" s="8">
        <v>1</v>
      </c>
      <c r="G2" s="159">
        <f t="shared" ref="G2:G4" si="1">I2*95*1.5</f>
        <v>478800</v>
      </c>
      <c r="H2" s="160">
        <f t="shared" ref="H2:H4" si="2">G2*F2</f>
        <v>478800</v>
      </c>
      <c r="I2" s="165">
        <v>3360</v>
      </c>
      <c r="J2" s="171">
        <v>4970</v>
      </c>
      <c r="K2" s="165">
        <v>3360</v>
      </c>
      <c r="L2" s="176">
        <v>3160</v>
      </c>
      <c r="M2" s="109">
        <v>100</v>
      </c>
    </row>
    <row r="3" spans="1:14" s="109" customFormat="1" ht="55.2" x14ac:dyDescent="0.3">
      <c r="A3" s="8">
        <f t="shared" si="0"/>
        <v>2</v>
      </c>
      <c r="B3" s="8">
        <v>1200002635</v>
      </c>
      <c r="C3" s="8">
        <v>6000000918</v>
      </c>
      <c r="D3" s="158" t="s">
        <v>666</v>
      </c>
      <c r="E3" s="8" t="s">
        <v>346</v>
      </c>
      <c r="F3" s="8">
        <v>1</v>
      </c>
      <c r="G3" s="159">
        <f t="shared" si="1"/>
        <v>1596000</v>
      </c>
      <c r="H3" s="160">
        <f t="shared" si="2"/>
        <v>1596000</v>
      </c>
      <c r="I3" s="165">
        <v>11200</v>
      </c>
      <c r="J3" s="171">
        <v>16180</v>
      </c>
      <c r="K3" s="165">
        <v>11200</v>
      </c>
      <c r="L3" s="176">
        <v>19980</v>
      </c>
      <c r="M3" s="109">
        <v>1100</v>
      </c>
      <c r="N3" s="177" t="s">
        <v>819</v>
      </c>
    </row>
    <row r="4" spans="1:14" s="109" customFormat="1" ht="55.2" x14ac:dyDescent="0.3">
      <c r="A4" s="8">
        <f t="shared" si="0"/>
        <v>3</v>
      </c>
      <c r="B4" s="8">
        <v>1200002635</v>
      </c>
      <c r="C4" s="8">
        <v>6000000916</v>
      </c>
      <c r="D4" s="158" t="s">
        <v>667</v>
      </c>
      <c r="E4" s="8" t="s">
        <v>346</v>
      </c>
      <c r="F4" s="8">
        <v>1</v>
      </c>
      <c r="G4" s="159">
        <f t="shared" si="1"/>
        <v>1945125</v>
      </c>
      <c r="H4" s="160">
        <f t="shared" si="2"/>
        <v>1945125</v>
      </c>
      <c r="I4" s="165">
        <v>13650</v>
      </c>
      <c r="J4" s="171">
        <v>17390</v>
      </c>
      <c r="K4" s="165">
        <v>13650</v>
      </c>
      <c r="L4" s="176">
        <v>21800</v>
      </c>
      <c r="M4" s="109">
        <v>1000</v>
      </c>
      <c r="N4" s="177" t="s">
        <v>820</v>
      </c>
    </row>
    <row r="5" spans="1:14" s="109" customFormat="1" x14ac:dyDescent="0.3">
      <c r="A5" s="8">
        <f t="shared" si="0"/>
        <v>4</v>
      </c>
      <c r="B5" s="168"/>
      <c r="C5" s="273" t="s">
        <v>154</v>
      </c>
      <c r="D5" s="273"/>
      <c r="E5" s="273"/>
      <c r="F5" s="273"/>
      <c r="G5" s="273"/>
      <c r="H5" s="160">
        <f>SUM(H2:H4)</f>
        <v>4019925</v>
      </c>
      <c r="I5" s="164"/>
      <c r="J5" s="167"/>
      <c r="K5" s="165"/>
      <c r="L5" s="166"/>
    </row>
    <row r="6" spans="1:14" x14ac:dyDescent="0.3">
      <c r="A6" s="8">
        <f t="shared" si="0"/>
        <v>5</v>
      </c>
      <c r="B6" s="8"/>
      <c r="C6" s="273" t="s">
        <v>99</v>
      </c>
      <c r="D6" s="273"/>
      <c r="E6" s="273"/>
      <c r="F6" s="273"/>
      <c r="G6" s="273"/>
      <c r="H6" s="161">
        <f>H5*18%</f>
        <v>723586.5</v>
      </c>
      <c r="I6" s="2"/>
      <c r="J6" s="2"/>
      <c r="K6" s="2"/>
    </row>
    <row r="7" spans="1:14" x14ac:dyDescent="0.3">
      <c r="A7" s="8">
        <f t="shared" si="0"/>
        <v>6</v>
      </c>
      <c r="B7" s="8"/>
      <c r="C7" s="273" t="s">
        <v>9</v>
      </c>
      <c r="D7" s="273"/>
      <c r="E7" s="273"/>
      <c r="F7" s="273"/>
      <c r="G7" s="273"/>
      <c r="H7" s="161">
        <f>SUM(H5:H6)</f>
        <v>4743511.5</v>
      </c>
      <c r="I7" s="2"/>
      <c r="J7" s="2"/>
      <c r="K7" s="2"/>
    </row>
    <row r="8" spans="1:14" s="6" customFormat="1" x14ac:dyDescent="0.3">
      <c r="A8" s="274" t="s">
        <v>12</v>
      </c>
      <c r="B8" s="274"/>
      <c r="C8" s="274"/>
      <c r="D8" s="274"/>
      <c r="E8" s="274"/>
      <c r="F8" s="274"/>
      <c r="G8" s="274"/>
      <c r="H8" s="274"/>
      <c r="I8" s="16"/>
      <c r="J8" s="2"/>
    </row>
    <row r="9" spans="1:14" s="6" customFormat="1" ht="141" customHeight="1" x14ac:dyDescent="0.3">
      <c r="A9" s="162" t="s">
        <v>570</v>
      </c>
      <c r="B9" s="272" t="s">
        <v>571</v>
      </c>
      <c r="C9" s="272"/>
      <c r="D9" s="272"/>
      <c r="E9" s="272"/>
      <c r="F9" s="272"/>
      <c r="G9" s="272"/>
      <c r="H9" s="272"/>
      <c r="I9" s="12"/>
      <c r="J9" s="2"/>
    </row>
  </sheetData>
  <mergeCells count="5">
    <mergeCell ref="C5:G5"/>
    <mergeCell ref="C6:G6"/>
    <mergeCell ref="C7:G7"/>
    <mergeCell ref="A8:H8"/>
    <mergeCell ref="B9:H9"/>
  </mergeCells>
  <printOptions horizontalCentered="1"/>
  <pageMargins left="0.25" right="0.25" top="0.75" bottom="0.75" header="0.3" footer="0.3"/>
  <pageSetup scale="105" orientation="landscape" horizontalDpi="4294967292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2716D-F6AF-46BC-B468-80E322606B91}">
  <dimension ref="A1:M10"/>
  <sheetViews>
    <sheetView zoomScaleNormal="100" workbookViewId="0">
      <selection activeCell="L3" sqref="L3"/>
    </sheetView>
  </sheetViews>
  <sheetFormatPr defaultColWidth="9.109375" defaultRowHeight="13.8" x14ac:dyDescent="0.3"/>
  <cols>
    <col min="1" max="1" width="5.88671875" style="179" bestFit="1" customWidth="1"/>
    <col min="2" max="2" width="11" style="179" bestFit="1" customWidth="1"/>
    <col min="3" max="3" width="15.5546875" style="179" customWidth="1"/>
    <col min="4" max="4" width="52.44140625" style="179" customWidth="1"/>
    <col min="5" max="5" width="5" style="179" bestFit="1" customWidth="1"/>
    <col min="6" max="6" width="8.6640625" style="179" customWidth="1"/>
    <col min="7" max="7" width="14.5546875" style="179" customWidth="1"/>
    <col min="8" max="8" width="18.5546875" style="179" customWidth="1"/>
    <col min="9" max="9" width="13.6640625" style="186" customWidth="1"/>
    <col min="10" max="10" width="16.88671875" style="195" bestFit="1" customWidth="1"/>
    <col min="11" max="11" width="12.33203125" style="187" bestFit="1" customWidth="1"/>
    <col min="12" max="12" width="16.5546875" style="179" bestFit="1" customWidth="1"/>
    <col min="13" max="13" width="14" style="179" bestFit="1" customWidth="1"/>
    <col min="14" max="15" width="12.44140625" style="179" bestFit="1" customWidth="1"/>
    <col min="16" max="16384" width="9.109375" style="179"/>
  </cols>
  <sheetData>
    <row r="1" spans="1:13" x14ac:dyDescent="0.3">
      <c r="A1" s="178" t="s">
        <v>0</v>
      </c>
      <c r="B1" s="178" t="s">
        <v>15</v>
      </c>
      <c r="C1" s="178" t="s">
        <v>185</v>
      </c>
      <c r="D1" s="178" t="s">
        <v>821</v>
      </c>
      <c r="E1" s="178" t="s">
        <v>2</v>
      </c>
      <c r="F1" s="178" t="s">
        <v>822</v>
      </c>
      <c r="G1" s="178" t="s">
        <v>6</v>
      </c>
      <c r="H1" s="178" t="s">
        <v>154</v>
      </c>
      <c r="I1" s="191" t="s">
        <v>837</v>
      </c>
      <c r="J1" s="197" t="s">
        <v>838</v>
      </c>
      <c r="K1" s="196" t="s">
        <v>840</v>
      </c>
    </row>
    <row r="2" spans="1:13" ht="17.399999999999999" x14ac:dyDescent="0.3">
      <c r="A2" s="178">
        <f>ROW()-1</f>
        <v>1</v>
      </c>
      <c r="B2" s="180"/>
      <c r="C2" s="181" t="s">
        <v>823</v>
      </c>
      <c r="D2" s="181" t="s">
        <v>824</v>
      </c>
      <c r="E2" s="182" t="s">
        <v>127</v>
      </c>
      <c r="F2" s="182">
        <v>2</v>
      </c>
      <c r="G2" s="183"/>
      <c r="H2" s="183"/>
      <c r="I2" s="192"/>
      <c r="J2" s="202" t="s">
        <v>839</v>
      </c>
      <c r="K2" s="200"/>
      <c r="L2" s="184"/>
    </row>
    <row r="3" spans="1:13" ht="27.6" x14ac:dyDescent="0.3">
      <c r="A3" s="178">
        <f t="shared" ref="A3:A9" si="0">ROW()-1</f>
        <v>2</v>
      </c>
      <c r="B3" s="180"/>
      <c r="C3" s="181" t="s">
        <v>825</v>
      </c>
      <c r="D3" s="181" t="s">
        <v>826</v>
      </c>
      <c r="E3" s="182" t="s">
        <v>827</v>
      </c>
      <c r="F3" s="182">
        <v>109</v>
      </c>
      <c r="G3" s="183"/>
      <c r="H3" s="183"/>
      <c r="I3" s="192"/>
      <c r="J3" s="203" t="s">
        <v>842</v>
      </c>
      <c r="K3" s="201"/>
      <c r="L3" s="184"/>
    </row>
    <row r="4" spans="1:13" ht="27.6" x14ac:dyDescent="0.3">
      <c r="A4" s="178">
        <f t="shared" si="0"/>
        <v>3</v>
      </c>
      <c r="B4" s="180"/>
      <c r="C4" s="181" t="s">
        <v>828</v>
      </c>
      <c r="D4" s="181" t="s">
        <v>829</v>
      </c>
      <c r="E4" s="182" t="s">
        <v>827</v>
      </c>
      <c r="F4" s="182">
        <v>20</v>
      </c>
      <c r="G4" s="183"/>
      <c r="H4" s="183"/>
      <c r="I4" s="192"/>
      <c r="J4" s="204" t="s">
        <v>843</v>
      </c>
      <c r="K4" s="206" t="s">
        <v>841</v>
      </c>
      <c r="L4" s="184"/>
    </row>
    <row r="5" spans="1:13" ht="27.6" x14ac:dyDescent="0.3">
      <c r="A5" s="178">
        <f t="shared" si="0"/>
        <v>4</v>
      </c>
      <c r="B5" s="180"/>
      <c r="C5" s="181" t="s">
        <v>830</v>
      </c>
      <c r="D5" s="181" t="s">
        <v>831</v>
      </c>
      <c r="E5" s="182" t="s">
        <v>827</v>
      </c>
      <c r="F5" s="182">
        <v>20</v>
      </c>
      <c r="G5" s="183"/>
      <c r="H5" s="183"/>
      <c r="I5" s="192"/>
      <c r="J5" s="205" t="s">
        <v>844</v>
      </c>
      <c r="K5" s="206" t="s">
        <v>841</v>
      </c>
      <c r="L5" s="184"/>
    </row>
    <row r="6" spans="1:13" x14ac:dyDescent="0.3">
      <c r="A6" s="178">
        <f t="shared" si="0"/>
        <v>5</v>
      </c>
      <c r="B6" s="180"/>
      <c r="C6" s="178"/>
      <c r="D6" s="185"/>
      <c r="E6" s="182"/>
      <c r="F6" s="182"/>
      <c r="G6" s="183"/>
      <c r="H6" s="183"/>
      <c r="I6" s="192"/>
      <c r="J6" s="198"/>
      <c r="K6" s="201"/>
      <c r="L6" s="184"/>
    </row>
    <row r="7" spans="1:13" s="188" customFormat="1" x14ac:dyDescent="0.3">
      <c r="A7" s="180">
        <f t="shared" si="0"/>
        <v>6</v>
      </c>
      <c r="B7" s="208" t="s">
        <v>832</v>
      </c>
      <c r="C7" s="208"/>
      <c r="D7" s="208"/>
      <c r="E7" s="208"/>
      <c r="F7" s="208"/>
      <c r="G7" s="208"/>
      <c r="H7" s="161">
        <f>SUM(H2:H3)</f>
        <v>0</v>
      </c>
      <c r="I7" s="193"/>
      <c r="J7" s="199"/>
      <c r="K7" s="194"/>
    </row>
    <row r="8" spans="1:13" s="188" customFormat="1" x14ac:dyDescent="0.3">
      <c r="A8" s="180">
        <f t="shared" si="0"/>
        <v>7</v>
      </c>
      <c r="B8" s="208" t="s">
        <v>833</v>
      </c>
      <c r="C8" s="208"/>
      <c r="D8" s="208"/>
      <c r="E8" s="208"/>
      <c r="F8" s="208"/>
      <c r="G8" s="208"/>
      <c r="H8" s="161">
        <f>H7*18%</f>
        <v>0</v>
      </c>
      <c r="I8" s="193"/>
      <c r="J8" s="199"/>
      <c r="K8" s="194"/>
    </row>
    <row r="9" spans="1:13" s="188" customFormat="1" x14ac:dyDescent="0.3">
      <c r="A9" s="180">
        <f t="shared" si="0"/>
        <v>8</v>
      </c>
      <c r="B9" s="208" t="s">
        <v>834</v>
      </c>
      <c r="C9" s="208"/>
      <c r="D9" s="208"/>
      <c r="E9" s="208"/>
      <c r="F9" s="208"/>
      <c r="G9" s="208"/>
      <c r="H9" s="161">
        <f>H8+H7</f>
        <v>0</v>
      </c>
      <c r="I9" s="193"/>
      <c r="J9" s="199"/>
      <c r="K9" s="194"/>
    </row>
    <row r="10" spans="1:13" s="188" customFormat="1" ht="151.80000000000001" x14ac:dyDescent="0.3">
      <c r="A10" s="189" t="s">
        <v>835</v>
      </c>
      <c r="B10" s="207" t="s">
        <v>836</v>
      </c>
      <c r="C10" s="207"/>
      <c r="D10" s="207"/>
      <c r="E10" s="207"/>
      <c r="F10" s="207"/>
      <c r="G10" s="207"/>
      <c r="H10" s="207"/>
      <c r="I10" s="186"/>
      <c r="J10" s="195"/>
      <c r="K10" s="187"/>
      <c r="M10" s="190"/>
    </row>
  </sheetData>
  <mergeCells count="4">
    <mergeCell ref="B10:H10"/>
    <mergeCell ref="B7:G7"/>
    <mergeCell ref="B8:G8"/>
    <mergeCell ref="B9:G9"/>
  </mergeCells>
  <printOptions horizontalCentered="1"/>
  <pageMargins left="0.25" right="0.25" top="0.75" bottom="0.75" header="0.3" footer="0.3"/>
  <pageSetup scale="105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74</vt:i4>
      </vt:variant>
    </vt:vector>
  </HeadingPairs>
  <TitlesOfParts>
    <vt:vector size="74" baseType="lpstr">
      <vt:lpstr>428</vt:lpstr>
      <vt:lpstr>428 LATEST</vt:lpstr>
      <vt:lpstr>motors</vt:lpstr>
      <vt:lpstr>Velan</vt:lpstr>
      <vt:lpstr>680 &amp; 840</vt:lpstr>
      <vt:lpstr>Changzhou MOV</vt:lpstr>
      <vt:lpstr>DC Motor-1200000168</vt:lpstr>
      <vt:lpstr>1200000278</vt:lpstr>
      <vt:lpstr>Boiler Tube</vt:lpstr>
      <vt:lpstr>1200000433</vt:lpstr>
      <vt:lpstr>1200000411</vt:lpstr>
      <vt:lpstr>Transformers Fan</vt:lpstr>
      <vt:lpstr>Transformers Fan &amp; Velan</vt:lpstr>
      <vt:lpstr>1200000602</vt:lpstr>
      <vt:lpstr>STI</vt:lpstr>
      <vt:lpstr>1200000719</vt:lpstr>
      <vt:lpstr>HTC SPARES</vt:lpstr>
      <vt:lpstr>Moog Valve</vt:lpstr>
      <vt:lpstr>CRH Gasket</vt:lpstr>
      <vt:lpstr>Yuken</vt:lpstr>
      <vt:lpstr>IPCV</vt:lpstr>
      <vt:lpstr>Eaton 1200001123</vt:lpstr>
      <vt:lpstr>Network Switch</vt:lpstr>
      <vt:lpstr>Maintenance kit Gov Vlv</vt:lpstr>
      <vt:lpstr>STI (2)</vt:lpstr>
      <vt:lpstr>Kratch Pump</vt:lpstr>
      <vt:lpstr>1200001577</vt:lpstr>
      <vt:lpstr>Autronica</vt:lpstr>
      <vt:lpstr>1200000433 Oct 2022 Eaton</vt:lpstr>
      <vt:lpstr>1200000278 Nov 22</vt:lpstr>
      <vt:lpstr>1200000278 Nov 22 (2)</vt:lpstr>
      <vt:lpstr>Moog Valve (2)</vt:lpstr>
      <vt:lpstr>1200001904</vt:lpstr>
      <vt:lpstr>1200001916</vt:lpstr>
      <vt:lpstr>Bladder</vt:lpstr>
      <vt:lpstr>1200002165</vt:lpstr>
      <vt:lpstr>1200002270</vt:lpstr>
      <vt:lpstr>1200002382</vt:lpstr>
      <vt:lpstr>Gen Seal</vt:lpstr>
      <vt:lpstr>1200002387</vt:lpstr>
      <vt:lpstr>Bearing Pins</vt:lpstr>
      <vt:lpstr>Bearing Pins 05102023</vt:lpstr>
      <vt:lpstr>LOP Budgetary</vt:lpstr>
      <vt:lpstr>1200002617 </vt:lpstr>
      <vt:lpstr>1200002627</vt:lpstr>
      <vt:lpstr>1200002916 </vt:lpstr>
      <vt:lpstr>1200002914</vt:lpstr>
      <vt:lpstr>1200002913</vt:lpstr>
      <vt:lpstr>1200002912</vt:lpstr>
      <vt:lpstr>1200002614</vt:lpstr>
      <vt:lpstr>1200002884</vt:lpstr>
      <vt:lpstr>1200002894</vt:lpstr>
      <vt:lpstr>1200001921</vt:lpstr>
      <vt:lpstr>1200002935</vt:lpstr>
      <vt:lpstr>1200002731</vt:lpstr>
      <vt:lpstr>1200002881</vt:lpstr>
      <vt:lpstr>1200002964</vt:lpstr>
      <vt:lpstr>1200003071</vt:lpstr>
      <vt:lpstr>1200003363</vt:lpstr>
      <vt:lpstr>1200003688</vt:lpstr>
      <vt:lpstr>1200003626</vt:lpstr>
      <vt:lpstr>Supply of Exciter Spares</vt:lpstr>
      <vt:lpstr>1200003346</vt:lpstr>
      <vt:lpstr>1200003691</vt:lpstr>
      <vt:lpstr>1200003692</vt:lpstr>
      <vt:lpstr>1200003693</vt:lpstr>
      <vt:lpstr>1200002635</vt:lpstr>
      <vt:lpstr>1200003717</vt:lpstr>
      <vt:lpstr>1200003718</vt:lpstr>
      <vt:lpstr>1200003719</vt:lpstr>
      <vt:lpstr>1200003722</vt:lpstr>
      <vt:lpstr>1200003735</vt:lpstr>
      <vt:lpstr>1200002635 Indragopal Rathi</vt:lpstr>
      <vt:lpstr>RFQ 1200000169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2026-10-23T10:16:23Z</dcterms:modified>
</cp:coreProperties>
</file>