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Samar Data Backup\Simhapuri\"/>
    </mc:Choice>
  </mc:AlternateContent>
  <xr:revisionPtr revIDLastSave="0" documentId="13_ncr:1_{70D6B226-3814-4140-A93B-6EFD04E260D7}" xr6:coauthVersionLast="47" xr6:coauthVersionMax="47" xr10:uidLastSave="{00000000-0000-0000-0000-000000000000}"/>
  <bookViews>
    <workbookView xWindow="-108" yWindow="-108" windowWidth="23256" windowHeight="12456" firstSheet="45" activeTab="50" xr2:uid="{00000000-000D-0000-FFFF-FFFF00000000}"/>
  </bookViews>
  <sheets>
    <sheet name="Gland" sheetId="1" r:id="rId1"/>
    <sheet name="Actuator" sheetId="3" r:id="rId2"/>
    <sheet name="AVR" sheetId="4" r:id="rId3"/>
    <sheet name="Glands" sheetId="5" r:id="rId4"/>
    <sheet name="Accumulator Spares" sheetId="6" r:id="rId5"/>
    <sheet name="Elec Act" sheetId="7" r:id="rId6"/>
    <sheet name="SND Spares" sheetId="9" r:id="rId7"/>
    <sheet name="C&amp;I Spares" sheetId="8" r:id="rId8"/>
    <sheet name="MOV &amp; Capacitor" sheetId="10" r:id="rId9"/>
    <sheet name="LVDT &amp; Limit switch" sheetId="11" r:id="rId10"/>
    <sheet name="DEH Spares" sheetId="12" r:id="rId11"/>
    <sheet name="Metrix" sheetId="13" r:id="rId12"/>
    <sheet name="Feeder Controller" sheetId="14" r:id="rId13"/>
    <sheet name="Switches" sheetId="15" r:id="rId14"/>
    <sheet name="Catridge" sheetId="16" r:id="rId15"/>
    <sheet name="DEH Control System" sheetId="17" r:id="rId16"/>
    <sheet name="MSV Spares" sheetId="18" r:id="rId17"/>
    <sheet name="FGD" sheetId="19" r:id="rId18"/>
    <sheet name="ESp Cards" sheetId="20" r:id="rId19"/>
    <sheet name="DEH Module" sheetId="21" r:id="rId20"/>
    <sheet name="EMRV" sheetId="22" r:id="rId21"/>
    <sheet name="Coil" sheetId="23" r:id="rId22"/>
    <sheet name="FLAME CASING" sheetId="24" r:id="rId23"/>
    <sheet name="Nadi Coil" sheetId="25" r:id="rId24"/>
    <sheet name="Tacho Wheel" sheetId="26" r:id="rId25"/>
    <sheet name="SND Add " sheetId="27" r:id="rId26"/>
    <sheet name="APH Tubes" sheetId="28" r:id="rId27"/>
    <sheet name="Burner Spares 2" sheetId="29" r:id="rId28"/>
    <sheet name="Sheet1" sheetId="32" r:id="rId29"/>
    <sheet name="RTD &amp; LT" sheetId="30" r:id="rId30"/>
    <sheet name="DC MOTOR" sheetId="31" r:id="rId31"/>
    <sheet name="Pump Motor" sheetId="33" r:id="rId32"/>
    <sheet name="5000002901" sheetId="34" r:id="rId33"/>
    <sheet name="Bearing Housings BFP" sheetId="35" r:id="rId34"/>
    <sheet name="BFP Motor" sheetId="36" r:id="rId35"/>
    <sheet name="SWP Relay" sheetId="37" r:id="rId36"/>
    <sheet name="LVDT" sheetId="38" r:id="rId37"/>
    <sheet name="DP Switch" sheetId="39" r:id="rId38"/>
    <sheet name="Vortex" sheetId="40" r:id="rId39"/>
    <sheet name="SiCv" sheetId="41" r:id="rId40"/>
    <sheet name="IV Act" sheetId="42" r:id="rId41"/>
    <sheet name="5000003050" sheetId="43" r:id="rId42"/>
    <sheet name="5000003631" sheetId="44" r:id="rId43"/>
    <sheet name="1400000008" sheetId="45" r:id="rId44"/>
    <sheet name="1400000074" sheetId="46" r:id="rId45"/>
    <sheet name="Budgetary EH Pump" sheetId="47" r:id="rId46"/>
    <sheet name="DEH IO Module" sheetId="48" r:id="rId47"/>
    <sheet name="1400000169 " sheetId="49" r:id="rId48"/>
    <sheet name="1400000168 " sheetId="50" r:id="rId49"/>
    <sheet name="1400000261 " sheetId="51" r:id="rId50"/>
    <sheet name="1400000717" sheetId="53" r:id="rId51"/>
  </sheets>
  <definedNames>
    <definedName name="_xlnm._FilterDatabase" localSheetId="50" hidden="1">'1400000717'!$A$1:$J$9</definedName>
    <definedName name="_xlnm._FilterDatabase" localSheetId="26" hidden="1">'APH Tubes'!$A$1:$M$27</definedName>
    <definedName name="_xlnm._FilterDatabase" localSheetId="14" hidden="1">Catridge!$A$1:$O$9</definedName>
    <definedName name="_xlnm.Print_Area" localSheetId="50">'1400000717'!$A$1:$I$9</definedName>
  </definedNames>
  <calcPr calcId="191029" iterate="1" iterateCount="1000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53" l="1"/>
  <c r="I3" i="53" s="1"/>
  <c r="H4" i="53"/>
  <c r="I4" i="53"/>
  <c r="A3" i="53"/>
  <c r="A4" i="53"/>
  <c r="A2" i="53"/>
  <c r="A7" i="53" l="1"/>
  <c r="A6" i="53"/>
  <c r="A5" i="53"/>
  <c r="H2" i="53"/>
  <c r="I2" i="53" s="1"/>
  <c r="I5" i="53" s="1"/>
  <c r="I6" i="53" s="1"/>
  <c r="I7" i="53" s="1"/>
  <c r="G4" i="51" l="1"/>
  <c r="H4" i="51" s="1"/>
  <c r="G5" i="51"/>
  <c r="H5" i="51" s="1"/>
  <c r="G2" i="17" l="1"/>
  <c r="G3" i="51"/>
  <c r="F2" i="48"/>
  <c r="G2" i="48" s="1"/>
  <c r="F3" i="48"/>
  <c r="F4" i="50"/>
  <c r="G4" i="50" s="1"/>
  <c r="H4" i="50" s="1"/>
  <c r="F3" i="50"/>
  <c r="G3" i="50" s="1"/>
  <c r="H3" i="50" s="1"/>
  <c r="F5" i="50"/>
  <c r="G5" i="50" s="1"/>
  <c r="H5" i="50" s="1"/>
  <c r="F2" i="50"/>
  <c r="G2" i="50" s="1"/>
  <c r="F3" i="49"/>
  <c r="F2" i="49"/>
  <c r="G2" i="49" s="1"/>
  <c r="I4" i="47"/>
  <c r="F4" i="47" s="1"/>
  <c r="I3" i="47"/>
  <c r="F3" i="47" s="1"/>
  <c r="I2" i="47"/>
  <c r="G2" i="47"/>
  <c r="H2" i="47" s="1"/>
  <c r="G6" i="47"/>
  <c r="H6" i="47" s="1"/>
  <c r="G5" i="47"/>
  <c r="H5" i="47" s="1"/>
  <c r="G2" i="46"/>
  <c r="H2" i="46" s="1"/>
  <c r="G2" i="45"/>
  <c r="H2" i="45" s="1"/>
  <c r="G3" i="45"/>
  <c r="H3" i="45" s="1"/>
  <c r="F3" i="44"/>
  <c r="F4" i="44"/>
  <c r="F5" i="44"/>
  <c r="F2" i="44"/>
  <c r="L2" i="44"/>
  <c r="H3" i="51" l="1"/>
  <c r="G2" i="51"/>
  <c r="H2" i="51" s="1"/>
  <c r="G3" i="48"/>
  <c r="H3" i="48" s="1"/>
  <c r="H2" i="50"/>
  <c r="G3" i="49"/>
  <c r="H3" i="49" s="1"/>
  <c r="H2" i="49"/>
  <c r="H2" i="48"/>
  <c r="G4" i="47"/>
  <c r="H4" i="47" s="1"/>
  <c r="G3" i="47"/>
  <c r="H3" i="47" s="1"/>
  <c r="G2" i="44"/>
  <c r="L3" i="41"/>
  <c r="L2" i="41"/>
  <c r="F3" i="43"/>
  <c r="G3" i="43" s="1"/>
  <c r="H3" i="43" s="1"/>
  <c r="F2" i="43"/>
  <c r="G2" i="43" s="1"/>
  <c r="F2" i="41"/>
  <c r="F3" i="41"/>
  <c r="G2" i="42"/>
  <c r="H2" i="42" s="1"/>
  <c r="I2" i="42" s="1"/>
  <c r="H2" i="38"/>
  <c r="I2" i="38" s="1"/>
  <c r="H3" i="38"/>
  <c r="I3" i="38" s="1"/>
  <c r="H4" i="38"/>
  <c r="I4" i="38"/>
  <c r="F2" i="39"/>
  <c r="G2" i="39" s="1"/>
  <c r="F2" i="40"/>
  <c r="G2" i="40" s="1"/>
  <c r="F3" i="39"/>
  <c r="G3" i="39" s="1"/>
  <c r="H3" i="39" s="1"/>
  <c r="I3" i="35"/>
  <c r="F3" i="35" s="1"/>
  <c r="I4" i="35"/>
  <c r="F4" i="35" s="1"/>
  <c r="G4" i="35" s="1"/>
  <c r="I5" i="35"/>
  <c r="F5" i="35" s="1"/>
  <c r="G5" i="35" s="1"/>
  <c r="I2" i="35"/>
  <c r="F2" i="35" s="1"/>
  <c r="J4" i="38"/>
  <c r="J3" i="38"/>
  <c r="J2" i="38"/>
  <c r="F2" i="37"/>
  <c r="G2" i="37" s="1"/>
  <c r="F2" i="36"/>
  <c r="G2" i="36" s="1"/>
  <c r="H2" i="36" s="1"/>
  <c r="M7" i="35"/>
  <c r="F2" i="34"/>
  <c r="G2" i="34" s="1"/>
  <c r="M4" i="34"/>
  <c r="M5" i="33"/>
  <c r="F3" i="33"/>
  <c r="F2" i="33"/>
  <c r="G2" i="33" s="1"/>
  <c r="H2" i="33" s="1"/>
  <c r="M5" i="31"/>
  <c r="G3" i="44" l="1"/>
  <c r="H3" i="44" s="1"/>
  <c r="G4" i="44"/>
  <c r="H4" i="44" s="1"/>
  <c r="G5" i="44"/>
  <c r="H5" i="44" s="1"/>
  <c r="H2" i="44"/>
  <c r="H2" i="43"/>
  <c r="G2" i="41"/>
  <c r="H2" i="41" s="1"/>
  <c r="G3" i="41"/>
  <c r="H3" i="41" s="1"/>
  <c r="H2" i="39"/>
  <c r="H2" i="40"/>
  <c r="G2" i="35"/>
  <c r="H2" i="35" s="1"/>
  <c r="H2" i="37"/>
  <c r="H4" i="35"/>
  <c r="G3" i="35"/>
  <c r="H3" i="35" s="1"/>
  <c r="H5" i="35"/>
  <c r="H2" i="34"/>
  <c r="G3" i="33"/>
  <c r="H3" i="33" s="1"/>
  <c r="N3" i="31"/>
  <c r="N2" i="31"/>
  <c r="G5" i="32"/>
  <c r="G6" i="32"/>
  <c r="G7" i="32"/>
  <c r="G8" i="32"/>
  <c r="G9" i="32"/>
  <c r="G10" i="32"/>
  <c r="G4" i="32"/>
  <c r="F3" i="31"/>
  <c r="F2" i="31"/>
  <c r="F2" i="30"/>
  <c r="F3" i="30"/>
  <c r="G3" i="30" s="1"/>
  <c r="N8" i="29"/>
  <c r="M8" i="29"/>
  <c r="H8" i="29"/>
  <c r="I8" i="29" s="1"/>
  <c r="N7" i="29"/>
  <c r="M7" i="29"/>
  <c r="H7" i="29"/>
  <c r="I7" i="29" s="1"/>
  <c r="N6" i="29"/>
  <c r="M6" i="29"/>
  <c r="H6" i="29"/>
  <c r="I6" i="29" s="1"/>
  <c r="N5" i="29"/>
  <c r="M5" i="29"/>
  <c r="H5" i="29"/>
  <c r="I5" i="29" s="1"/>
  <c r="N4" i="29"/>
  <c r="M4" i="29"/>
  <c r="H4" i="29"/>
  <c r="I4" i="29" s="1"/>
  <c r="N3" i="29"/>
  <c r="M3" i="29"/>
  <c r="H3" i="29"/>
  <c r="I3" i="29" s="1"/>
  <c r="N2" i="29"/>
  <c r="M2" i="29"/>
  <c r="H2" i="29"/>
  <c r="I2" i="29" s="1"/>
  <c r="M10" i="28"/>
  <c r="M9" i="28"/>
  <c r="M8" i="28"/>
  <c r="M7" i="28"/>
  <c r="M6" i="28"/>
  <c r="M5" i="28"/>
  <c r="M4" i="28"/>
  <c r="M3" i="28"/>
  <c r="M2" i="28"/>
  <c r="G11" i="32" l="1"/>
  <c r="G2" i="31"/>
  <c r="H2" i="31" s="1"/>
  <c r="G3" i="31"/>
  <c r="H3" i="31" s="1"/>
  <c r="G2" i="30"/>
  <c r="H2" i="30" s="1"/>
  <c r="H3" i="30"/>
  <c r="J5" i="28"/>
  <c r="J8" i="28"/>
  <c r="J9" i="28"/>
  <c r="J10" i="28"/>
  <c r="J3" i="28"/>
  <c r="G24" i="28"/>
  <c r="H24" i="28" s="1"/>
  <c r="G23" i="28"/>
  <c r="H23" i="28" s="1"/>
  <c r="G22" i="28"/>
  <c r="H22" i="28" s="1"/>
  <c r="G21" i="28"/>
  <c r="H21" i="28" s="1"/>
  <c r="G20" i="28"/>
  <c r="H20" i="28" s="1"/>
  <c r="G19" i="28"/>
  <c r="H19" i="28" s="1"/>
  <c r="G18" i="28"/>
  <c r="H18" i="28" s="1"/>
  <c r="G17" i="28"/>
  <c r="H17" i="28" s="1"/>
  <c r="G16" i="28"/>
  <c r="H16" i="28" s="1"/>
  <c r="G15" i="28"/>
  <c r="H15" i="28" s="1"/>
  <c r="G14" i="28"/>
  <c r="H14" i="28" s="1"/>
  <c r="G13" i="28"/>
  <c r="H13" i="28" s="1"/>
  <c r="G12" i="28"/>
  <c r="H12" i="28" s="1"/>
  <c r="G11" i="28"/>
  <c r="H11" i="28" s="1"/>
  <c r="G10" i="28"/>
  <c r="H10" i="28" s="1"/>
  <c r="G9" i="28"/>
  <c r="H9" i="28" s="1"/>
  <c r="G8" i="28"/>
  <c r="H8" i="28" s="1"/>
  <c r="G7" i="28"/>
  <c r="H7" i="28" s="1"/>
  <c r="G6" i="28"/>
  <c r="H6" i="28" s="1"/>
  <c r="G5" i="28"/>
  <c r="H5" i="28" s="1"/>
  <c r="G4" i="28"/>
  <c r="H4" i="28" s="1"/>
  <c r="G3" i="28"/>
  <c r="H3" i="28" s="1"/>
  <c r="G2" i="28"/>
  <c r="H2" i="28" s="1"/>
  <c r="I24" i="27"/>
  <c r="G24" i="27" s="1"/>
  <c r="H24" i="27" s="1"/>
  <c r="I23" i="27"/>
  <c r="G23" i="27" s="1"/>
  <c r="H23" i="27" s="1"/>
  <c r="I18" i="27"/>
  <c r="G18" i="27" s="1"/>
  <c r="H18" i="27" s="1"/>
  <c r="G15" i="27"/>
  <c r="H15" i="27" s="1"/>
  <c r="G22" i="27"/>
  <c r="H22" i="27" s="1"/>
  <c r="G21" i="27"/>
  <c r="H21" i="27" s="1"/>
  <c r="I4" i="27"/>
  <c r="I7" i="27"/>
  <c r="G16" i="27"/>
  <c r="H16" i="27" s="1"/>
  <c r="G14" i="27"/>
  <c r="H14" i="27" s="1"/>
  <c r="H25" i="28" l="1"/>
  <c r="H26" i="28" s="1"/>
  <c r="H27" i="28" s="1"/>
  <c r="I13" i="27"/>
  <c r="G13" i="27" s="1"/>
  <c r="I12" i="27"/>
  <c r="G12" i="27" s="1"/>
  <c r="I11" i="27"/>
  <c r="G11" i="27" s="1"/>
  <c r="I19" i="27"/>
  <c r="G19" i="27" s="1"/>
  <c r="I17" i="27"/>
  <c r="G17" i="27" s="1"/>
  <c r="I10" i="27"/>
  <c r="G10" i="27" s="1"/>
  <c r="I9" i="27"/>
  <c r="G9" i="27" s="1"/>
  <c r="I8" i="27"/>
  <c r="G8" i="27" s="1"/>
  <c r="G7" i="27"/>
  <c r="I6" i="27"/>
  <c r="G6" i="27" s="1"/>
  <c r="I5" i="27"/>
  <c r="G5" i="27" s="1"/>
  <c r="G4" i="27"/>
  <c r="I3" i="27"/>
  <c r="G3" i="27" s="1"/>
  <c r="I2" i="27"/>
  <c r="G2" i="27" s="1"/>
  <c r="H3" i="27" l="1"/>
  <c r="H2" i="27"/>
  <c r="H4" i="27"/>
  <c r="H5" i="27"/>
  <c r="H6" i="27"/>
  <c r="H7" i="27"/>
  <c r="H8" i="27"/>
  <c r="H9" i="27"/>
  <c r="H10" i="27"/>
  <c r="H17" i="27"/>
  <c r="H19" i="27"/>
  <c r="H11" i="27"/>
  <c r="H12" i="27"/>
  <c r="H13" i="27"/>
  <c r="G20" i="27"/>
  <c r="H20" i="27" s="1"/>
  <c r="F2" i="26"/>
  <c r="G2" i="26" s="1"/>
  <c r="K3" i="25"/>
  <c r="K2" i="25"/>
  <c r="F3" i="25"/>
  <c r="G3" i="25" s="1"/>
  <c r="H3" i="25" s="1"/>
  <c r="F2" i="25"/>
  <c r="G2" i="25" s="1"/>
  <c r="H2" i="25" s="1"/>
  <c r="G32" i="22"/>
  <c r="H32" i="22" s="1"/>
  <c r="G31" i="22"/>
  <c r="H31" i="22" s="1"/>
  <c r="G30" i="22"/>
  <c r="H30" i="22" s="1"/>
  <c r="I30" i="22" s="1"/>
  <c r="H29" i="22"/>
  <c r="I29" i="22" s="1"/>
  <c r="G29" i="22"/>
  <c r="G28" i="22"/>
  <c r="H28" i="22" s="1"/>
  <c r="G3" i="22"/>
  <c r="H3" i="22" s="1"/>
  <c r="G4" i="22"/>
  <c r="H4" i="22" s="1"/>
  <c r="G5" i="22"/>
  <c r="G6" i="22"/>
  <c r="G7" i="22"/>
  <c r="H7" i="22" s="1"/>
  <c r="G8" i="22"/>
  <c r="H8" i="22" s="1"/>
  <c r="G9" i="22"/>
  <c r="H9" i="22" s="1"/>
  <c r="G10" i="22"/>
  <c r="H10" i="22" s="1"/>
  <c r="G11" i="22"/>
  <c r="H11" i="22" s="1"/>
  <c r="G12" i="22"/>
  <c r="H12" i="22" s="1"/>
  <c r="G13" i="22"/>
  <c r="G14" i="22"/>
  <c r="H14" i="22" s="1"/>
  <c r="G15" i="22"/>
  <c r="H15" i="22" s="1"/>
  <c r="G16" i="22"/>
  <c r="H16" i="22" s="1"/>
  <c r="G17" i="22"/>
  <c r="H17" i="22" s="1"/>
  <c r="G18" i="22"/>
  <c r="H18" i="22" s="1"/>
  <c r="G19" i="22"/>
  <c r="H19" i="22" s="1"/>
  <c r="G20" i="22"/>
  <c r="H20" i="22" s="1"/>
  <c r="G21" i="22"/>
  <c r="H21" i="22" s="1"/>
  <c r="G2" i="22"/>
  <c r="H2" i="22" s="1"/>
  <c r="H5" i="22"/>
  <c r="H6" i="22"/>
  <c r="H13" i="22"/>
  <c r="H22" i="22"/>
  <c r="H23" i="22"/>
  <c r="H24" i="22"/>
  <c r="H25" i="22"/>
  <c r="H26" i="22"/>
  <c r="H27" i="22"/>
  <c r="I27" i="22" s="1"/>
  <c r="J2" i="24"/>
  <c r="F2" i="24"/>
  <c r="G2" i="24" s="1"/>
  <c r="H2" i="24" s="1"/>
  <c r="F3" i="24"/>
  <c r="G3" i="24" s="1"/>
  <c r="H3" i="24" s="1"/>
  <c r="J3" i="24"/>
  <c r="H2" i="23"/>
  <c r="M4" i="20"/>
  <c r="M3" i="20"/>
  <c r="M2" i="20"/>
  <c r="H25" i="27" l="1"/>
  <c r="H26" i="27" s="1"/>
  <c r="H27" i="27" s="1"/>
  <c r="H2" i="26"/>
  <c r="I2" i="23"/>
  <c r="I28" i="22"/>
  <c r="I17" i="22"/>
  <c r="I22" i="22"/>
  <c r="I23" i="22"/>
  <c r="I19" i="22"/>
  <c r="I20" i="22"/>
  <c r="I18" i="22"/>
  <c r="I21" i="22"/>
  <c r="I26" i="22" l="1"/>
  <c r="I25" i="22"/>
  <c r="I15" i="22"/>
  <c r="I3" i="22"/>
  <c r="I4" i="22"/>
  <c r="I7" i="22"/>
  <c r="I8" i="22"/>
  <c r="I11" i="22"/>
  <c r="I31" i="22"/>
  <c r="G3" i="21"/>
  <c r="G2" i="21"/>
  <c r="I24" i="22" l="1"/>
  <c r="I16" i="22"/>
  <c r="I6" i="22"/>
  <c r="I9" i="22"/>
  <c r="I10" i="22"/>
  <c r="I5" i="22"/>
  <c r="I14" i="22"/>
  <c r="I32" i="22"/>
  <c r="I12" i="22"/>
  <c r="I2" i="22"/>
  <c r="I13" i="22"/>
  <c r="H2" i="21"/>
  <c r="I2" i="21" s="1"/>
  <c r="H3" i="21"/>
  <c r="I3" i="21" s="1"/>
  <c r="G2" i="19" l="1"/>
  <c r="G3" i="20"/>
  <c r="H2" i="20"/>
  <c r="K2" i="16"/>
  <c r="J12" i="18"/>
  <c r="G12" i="18" s="1"/>
  <c r="H12" i="18" s="1"/>
  <c r="H7" i="15"/>
  <c r="H9" i="15"/>
  <c r="H10" i="15"/>
  <c r="H11" i="15"/>
  <c r="G6" i="15"/>
  <c r="H6" i="15" s="1"/>
  <c r="G8" i="15"/>
  <c r="H8" i="15" s="1"/>
  <c r="I2" i="20" l="1"/>
  <c r="H3" i="20"/>
  <c r="I3" i="20" s="1"/>
  <c r="H4" i="20"/>
  <c r="I4" i="20" s="1"/>
  <c r="H2" i="19"/>
  <c r="I2" i="19" s="1"/>
  <c r="I12" i="18"/>
  <c r="M5" i="12"/>
  <c r="J3" i="18"/>
  <c r="J4" i="18"/>
  <c r="G4" i="18" s="1"/>
  <c r="H4" i="18" s="1"/>
  <c r="J5" i="18"/>
  <c r="G5" i="18" s="1"/>
  <c r="H5" i="18" s="1"/>
  <c r="J6" i="18"/>
  <c r="G6" i="18" s="1"/>
  <c r="H6" i="18" s="1"/>
  <c r="J7" i="18"/>
  <c r="G7" i="18" s="1"/>
  <c r="H7" i="18" s="1"/>
  <c r="J8" i="18"/>
  <c r="G8" i="18" s="1"/>
  <c r="H8" i="18" s="1"/>
  <c r="J9" i="18"/>
  <c r="G9" i="18" s="1"/>
  <c r="H9" i="18" s="1"/>
  <c r="J10" i="18"/>
  <c r="G10" i="18" s="1"/>
  <c r="H10" i="18" s="1"/>
  <c r="J11" i="18"/>
  <c r="J13" i="18"/>
  <c r="G13" i="18" s="1"/>
  <c r="H13" i="18" s="1"/>
  <c r="J14" i="18"/>
  <c r="G14" i="18" s="1"/>
  <c r="H14" i="18" s="1"/>
  <c r="J15" i="18"/>
  <c r="G15" i="18" s="1"/>
  <c r="H15" i="18" s="1"/>
  <c r="J16" i="18"/>
  <c r="G16" i="18" s="1"/>
  <c r="H16" i="18" s="1"/>
  <c r="J17" i="18"/>
  <c r="G17" i="18" s="1"/>
  <c r="H17" i="18" s="1"/>
  <c r="J18" i="18"/>
  <c r="G18" i="18" s="1"/>
  <c r="H18" i="18" s="1"/>
  <c r="J19" i="18"/>
  <c r="G19" i="18" s="1"/>
  <c r="H19" i="18" s="1"/>
  <c r="J20" i="18"/>
  <c r="G20" i="18" s="1"/>
  <c r="H20" i="18" s="1"/>
  <c r="J21" i="18"/>
  <c r="G21" i="18" s="1"/>
  <c r="H21" i="18" s="1"/>
  <c r="J22" i="18"/>
  <c r="G22" i="18" s="1"/>
  <c r="H22" i="18" s="1"/>
  <c r="J23" i="18"/>
  <c r="G23" i="18" s="1"/>
  <c r="H23" i="18" s="1"/>
  <c r="J24" i="18"/>
  <c r="G24" i="18" s="1"/>
  <c r="H24" i="18" s="1"/>
  <c r="J25" i="18"/>
  <c r="G25" i="18" s="1"/>
  <c r="H25" i="18" s="1"/>
  <c r="J2" i="18"/>
  <c r="G2" i="18" s="1"/>
  <c r="H2" i="18" s="1"/>
  <c r="G11" i="18"/>
  <c r="H11" i="18" s="1"/>
  <c r="G3" i="18"/>
  <c r="H3" i="18" s="1"/>
  <c r="G2" i="16"/>
  <c r="H2" i="16" s="1"/>
  <c r="G3" i="16"/>
  <c r="H3" i="16" s="1"/>
  <c r="G4" i="16"/>
  <c r="G5" i="16"/>
  <c r="H5" i="16" s="1"/>
  <c r="G6" i="16"/>
  <c r="H6" i="16" s="1"/>
  <c r="G7" i="16"/>
  <c r="H7" i="16" s="1"/>
  <c r="G8" i="16"/>
  <c r="H8" i="16" s="1"/>
  <c r="G2" i="15"/>
  <c r="H2" i="15" s="1"/>
  <c r="G3" i="15"/>
  <c r="H3" i="15" s="1"/>
  <c r="G4" i="15"/>
  <c r="H4" i="15" s="1"/>
  <c r="G5" i="15"/>
  <c r="H5" i="15" s="1"/>
  <c r="I6" i="15"/>
  <c r="I7" i="15"/>
  <c r="H9" i="16"/>
  <c r="I9" i="16" s="1"/>
  <c r="G3" i="14"/>
  <c r="H3" i="14" s="1"/>
  <c r="I3" i="14" s="1"/>
  <c r="G2" i="14"/>
  <c r="H2" i="14" s="1"/>
  <c r="I2" i="14" s="1"/>
  <c r="J4" i="13"/>
  <c r="K4" i="13" s="1"/>
  <c r="J3" i="13"/>
  <c r="K3" i="13" s="1"/>
  <c r="J2" i="13"/>
  <c r="K2" i="13" s="1"/>
  <c r="I2" i="18" l="1"/>
  <c r="I14" i="18"/>
  <c r="I25" i="18"/>
  <c r="I17" i="18"/>
  <c r="I3" i="15"/>
  <c r="I5" i="15"/>
  <c r="I6" i="16"/>
  <c r="I8" i="16"/>
  <c r="I5" i="16"/>
  <c r="I10" i="18"/>
  <c r="I7" i="18"/>
  <c r="I22" i="18"/>
  <c r="I20" i="18"/>
  <c r="I8" i="18"/>
  <c r="I15" i="18"/>
  <c r="I3" i="18"/>
  <c r="I11" i="18"/>
  <c r="I18" i="18"/>
  <c r="I23" i="18"/>
  <c r="I13" i="18"/>
  <c r="I21" i="18"/>
  <c r="I4" i="18"/>
  <c r="I9" i="18"/>
  <c r="I16" i="18"/>
  <c r="I19" i="18"/>
  <c r="I24" i="18"/>
  <c r="I5" i="18"/>
  <c r="I6" i="18"/>
  <c r="H4" i="16"/>
  <c r="I4" i="16" s="1"/>
  <c r="I3" i="16"/>
  <c r="I2" i="16"/>
  <c r="I7" i="16"/>
  <c r="I4" i="15"/>
  <c r="I2" i="15"/>
  <c r="H2" i="17"/>
  <c r="I2" i="17" s="1"/>
  <c r="I8" i="15"/>
  <c r="I11" i="15"/>
  <c r="I9" i="15"/>
  <c r="I10" i="15"/>
  <c r="G5" i="10"/>
  <c r="G6" i="10"/>
  <c r="G7" i="10"/>
  <c r="G4" i="10" l="1"/>
  <c r="H4" i="10" s="1"/>
  <c r="H7" i="10"/>
  <c r="H6" i="10"/>
  <c r="H5" i="10"/>
  <c r="K8" i="12" l="1"/>
  <c r="J9" i="12"/>
  <c r="K9" i="12" s="1"/>
  <c r="K7" i="12"/>
  <c r="K6" i="12"/>
  <c r="K5" i="12"/>
  <c r="K4" i="12"/>
  <c r="K3" i="12"/>
  <c r="H2" i="8"/>
  <c r="H3" i="8"/>
  <c r="H4" i="8"/>
  <c r="H5" i="8"/>
  <c r="H6" i="8"/>
  <c r="H7" i="8"/>
  <c r="H8" i="8"/>
  <c r="H9" i="8"/>
  <c r="H10" i="8"/>
  <c r="H11" i="8"/>
  <c r="H12" i="8"/>
  <c r="H13" i="8"/>
  <c r="H14" i="8"/>
  <c r="H15" i="8"/>
  <c r="N11" i="8"/>
  <c r="N10" i="8"/>
  <c r="N8" i="8"/>
  <c r="N9" i="8"/>
  <c r="N7" i="8"/>
  <c r="N6" i="8"/>
  <c r="N5" i="8"/>
  <c r="N4" i="8"/>
  <c r="N3" i="8"/>
  <c r="N2" i="8"/>
  <c r="M11" i="8"/>
  <c r="M10" i="8"/>
  <c r="M9" i="8"/>
  <c r="M8" i="8"/>
  <c r="M7" i="8"/>
  <c r="M6" i="8"/>
  <c r="M5" i="8"/>
  <c r="M4" i="8"/>
  <c r="M3" i="8"/>
  <c r="M2" i="8"/>
  <c r="J4" i="11"/>
  <c r="J3" i="11"/>
  <c r="J2" i="11"/>
  <c r="H3" i="11"/>
  <c r="I3" i="11" s="1"/>
  <c r="H4" i="11"/>
  <c r="I4" i="11" s="1"/>
  <c r="H2" i="11"/>
  <c r="I2" i="11" s="1"/>
  <c r="H8" i="11"/>
  <c r="I8" i="11" s="1"/>
  <c r="H7" i="11"/>
  <c r="I7" i="11" s="1"/>
  <c r="H6" i="11"/>
  <c r="I6" i="11" s="1"/>
  <c r="H5" i="11"/>
  <c r="I5" i="11" s="1"/>
  <c r="K2" i="12" l="1"/>
  <c r="M4" i="9"/>
  <c r="M3" i="9"/>
  <c r="M2" i="9"/>
  <c r="G3" i="10" l="1"/>
  <c r="H3" i="10" s="1"/>
  <c r="G2" i="10"/>
  <c r="H2" i="10" s="1"/>
  <c r="H8" i="10" s="1"/>
  <c r="H9" i="10" l="1"/>
  <c r="H10" i="10" s="1"/>
  <c r="I10" i="10" s="1"/>
  <c r="J11" i="10" s="1"/>
  <c r="H4" i="9" l="1"/>
  <c r="H3" i="9"/>
  <c r="H2" i="9"/>
  <c r="H5" i="9" l="1"/>
  <c r="H6" i="9" s="1"/>
  <c r="H7" i="9" s="1"/>
  <c r="I7" i="9" s="1"/>
  <c r="J8" i="9" s="1"/>
  <c r="I11" i="8" l="1"/>
  <c r="I10" i="8"/>
  <c r="I9" i="8"/>
  <c r="I8" i="8"/>
  <c r="I15" i="8" l="1"/>
  <c r="I14" i="8"/>
  <c r="I13" i="8"/>
  <c r="I12" i="8"/>
  <c r="I7" i="8"/>
  <c r="I6" i="8"/>
  <c r="I5" i="8"/>
  <c r="I4" i="8"/>
  <c r="I3" i="8"/>
  <c r="I2" i="8"/>
  <c r="O13" i="1"/>
  <c r="H2" i="7" l="1"/>
  <c r="I2" i="7" s="1"/>
  <c r="G4" i="6"/>
  <c r="H4" i="6" s="1"/>
  <c r="I4" i="6" s="1"/>
  <c r="G3" i="6"/>
  <c r="H3" i="6" s="1"/>
  <c r="I3" i="6" s="1"/>
  <c r="G2" i="6"/>
  <c r="H2" i="6" s="1"/>
  <c r="I2" i="6" s="1"/>
  <c r="L2" i="5"/>
  <c r="G5" i="6" l="1"/>
  <c r="H2" i="4"/>
  <c r="H3" i="5" l="1"/>
  <c r="I3" i="5" s="1"/>
  <c r="H2" i="5"/>
  <c r="I2" i="5" s="1"/>
  <c r="I2" i="4"/>
  <c r="J2" i="4" s="1"/>
  <c r="G4" i="5" l="1"/>
  <c r="H3" i="3"/>
  <c r="H2" i="3"/>
  <c r="O3" i="3"/>
  <c r="O2" i="3"/>
  <c r="N14" i="1"/>
  <c r="H14" i="1"/>
  <c r="I14" i="1" s="1"/>
  <c r="N13" i="1"/>
  <c r="H13" i="1"/>
  <c r="I13" i="1" s="1"/>
  <c r="N12" i="1"/>
  <c r="H12" i="1"/>
  <c r="I12" i="1" s="1"/>
  <c r="M17" i="1"/>
  <c r="N16" i="1"/>
  <c r="N3" i="1"/>
  <c r="N4" i="1"/>
  <c r="N5" i="1"/>
  <c r="N6" i="1"/>
  <c r="N7" i="1"/>
  <c r="N8" i="1"/>
  <c r="N9" i="1"/>
  <c r="N10" i="1"/>
  <c r="N11" i="1"/>
  <c r="N2" i="1"/>
  <c r="H3" i="1"/>
  <c r="I3" i="1" s="1"/>
  <c r="H4" i="1"/>
  <c r="I4" i="1" s="1"/>
  <c r="H5" i="1"/>
  <c r="I5" i="1" s="1"/>
  <c r="H6" i="1"/>
  <c r="I6" i="1" s="1"/>
  <c r="H7" i="1"/>
  <c r="I7" i="1" s="1"/>
  <c r="H8" i="1"/>
  <c r="I8" i="1" s="1"/>
  <c r="H9" i="1"/>
  <c r="I9" i="1" s="1"/>
  <c r="H10" i="1"/>
  <c r="I10" i="1" s="1"/>
  <c r="H11" i="1"/>
  <c r="I11" i="1" s="1"/>
  <c r="H2" i="1"/>
  <c r="I2" i="1" s="1"/>
  <c r="I15" i="1" l="1"/>
  <c r="I16" i="1" s="1"/>
  <c r="I17" i="1" s="1"/>
  <c r="I3" i="3"/>
  <c r="J3" i="3" s="1"/>
  <c r="I2" i="3"/>
  <c r="J2" i="3" s="1"/>
</calcChain>
</file>

<file path=xl/sharedStrings.xml><?xml version="1.0" encoding="utf-8"?>
<sst xmlns="http://schemas.openxmlformats.org/spreadsheetml/2006/main" count="1686" uniqueCount="489">
  <si>
    <t>Sl. No.</t>
  </si>
  <si>
    <t>Part Name</t>
  </si>
  <si>
    <t>UOM</t>
  </si>
  <si>
    <t>Unit Rate-INR</t>
  </si>
  <si>
    <t>SubTotal</t>
  </si>
  <si>
    <t>Self</t>
  </si>
  <si>
    <t>Pcs</t>
  </si>
  <si>
    <t>Subtotal</t>
  </si>
  <si>
    <t>Grand Total on FOR Site Basis-INR</t>
  </si>
  <si>
    <t xml:space="preserve">
1. 
2. 
3. 
4. 
5.
6. 
7. 
8.
9. 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</si>
  <si>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JSPL Angul Basis.
Delivery Time: 12 weeks from date of receipt of confirm PO. (Covid-19 may affect delivery schedules)
G/Warranty: 12 months from date of  DISPATCH - only for manufacturing defects
Payment Terms: 100% alongwith taxes etc against PI Basis.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</si>
  <si>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OEM Part/DWG Number</t>
  </si>
  <si>
    <t>139.066Z</t>
  </si>
  <si>
    <t>Between High &amp; Medium Pressure Seal Gland</t>
  </si>
  <si>
    <t>IP Rear Gland</t>
  </si>
  <si>
    <t>HIP Diaphragm</t>
  </si>
  <si>
    <t xml:space="preserve">K03.069Z </t>
  </si>
  <si>
    <t>LP gland</t>
  </si>
  <si>
    <t>HP Back gland</t>
  </si>
  <si>
    <t>Main Dwg No</t>
  </si>
  <si>
    <t>K03.101Z (B)</t>
  </si>
  <si>
    <t>136.101.1Z</t>
  </si>
  <si>
    <t>136.101.2Z</t>
  </si>
  <si>
    <t>136.101.3Z</t>
  </si>
  <si>
    <t>136.101.4Z</t>
  </si>
  <si>
    <t xml:space="preserve">LP Diaphragm AB </t>
  </si>
  <si>
    <t>Main Dwg Name</t>
  </si>
  <si>
    <t>K03.069Z (B)</t>
  </si>
  <si>
    <t>Unit Weight</t>
  </si>
  <si>
    <t>139B.067Z(B)-1</t>
  </si>
  <si>
    <t>G18.067.7Z</t>
  </si>
  <si>
    <t>G18.067.6Z</t>
  </si>
  <si>
    <t>G139.067.4Z</t>
  </si>
  <si>
    <t>Gland Ring, Dwg Sl No VI</t>
  </si>
  <si>
    <t>Gland Ring, Dwg Sl No V</t>
  </si>
  <si>
    <t>Gland Ring, Dwg Sl No IV</t>
  </si>
  <si>
    <t>Gland Ring, Dwg Sl No III</t>
  </si>
  <si>
    <t>G18.066.2Z</t>
  </si>
  <si>
    <t>G18.100.2Z</t>
  </si>
  <si>
    <t>G18.100.1Z</t>
  </si>
  <si>
    <t>Gland Ring, Dwg Sl No I</t>
  </si>
  <si>
    <t>139A.068Z(B)</t>
  </si>
  <si>
    <t>139A.100Z(B)</t>
  </si>
  <si>
    <t>G18.068.2Z</t>
  </si>
  <si>
    <t>Gland Ring, Dwg Sl No II</t>
  </si>
  <si>
    <t>Installed Qty</t>
  </si>
  <si>
    <t>GST Rate 18% applicable against HSN:8406</t>
  </si>
  <si>
    <t>Sungme</t>
  </si>
  <si>
    <t>PR NO</t>
  </si>
  <si>
    <t>Item Code</t>
  </si>
  <si>
    <t>N/A</t>
  </si>
  <si>
    <t>ST 0.1 498.1-0RIAX/00</t>
  </si>
  <si>
    <t>Linear Electric Actuator
IP67, 230 V AC, switching-off thrust 5,8 kN, max. load thrust 5 kN, operating speed 40mm/min, operating stroke 50 mm</t>
  </si>
  <si>
    <t>Note: Above are two options, kindly choose according to site requirement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</si>
  <si>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JSPL Angul Basis.
Delivery Time: 16 weeks from date of receipt of confirm PO. (Covid-19 may affect delivery schedules)
G/Warranty: 12 months from date of  DISPATCH - only for manufacturing defects
Payment Terms: 100% alongwith taxes etc against PI Basis.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</si>
  <si>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 xml:space="preserve"> Qty</t>
  </si>
  <si>
    <t>GST @ 18%</t>
  </si>
  <si>
    <t xml:space="preserve">Linear Electric Actuator (5 Pcs)
with a IP67, 230 V AC, switching-off thrust 5,8 kN, max. load thrust 5 kN, operating speed 40mm/min, operating stroke 50 mm
with transmitter, mechanical connection according to user request - please specify + requested thread of stem, 2 additional position switches, space heater with </t>
  </si>
  <si>
    <t>Automatic Voltage Regulator (AVR)
 (complete euipment assembled condition)
MAKE: SHANGHAI SAIAO AUTOMATION CONTROL EQUIPMENT CO. LTD</t>
  </si>
  <si>
    <t>AVR</t>
  </si>
  <si>
    <t>Emma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</si>
  <si>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JSPL Angul Basis.
Delivery Time: 10 weeks from date of receipt of confirm PO. (Covid-19 may affect delivery schedules)
G/Warranty: 12 months from date of  DISPATCH - only for manufacturing defects
Payment Terms: 100% alongwith taxes etc against PI Basis.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</si>
  <si>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Set</t>
  </si>
  <si>
    <t>Total of above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</si>
  <si>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JPL Simhapuri Nellore Basis.
Delivery Time: 12 weeks from date of receipt of confirm PO. (Covid-19 may affect delivery schedules)
G/Warranty: 12 months from date of  DISPATCH - only for manufacturing defects
Payment Terms: 100% alongwith taxes etc against PI Basis.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</si>
  <si>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in INR</t>
  </si>
  <si>
    <t>Hongda</t>
  </si>
  <si>
    <t>Model: NXQ-AB-10/31.5-L-E
complete bladder set (each set parts listed below):
a.	Check ring{SF}
b.	Seal Ring
c.	Press Ring
d.	Bladder
e.	Hydraulic port
f.	Anti-extrusion ring
g.	supporting ring
h.	Washer
i.	Gas valve(Inflating valve)
j.	Supporting Spacer</t>
  </si>
  <si>
    <t>Model: NXQ-AB-2.5/31.5-L-E
complete bladder set (each set parts listed below):
a.	Check ring{SF}
b.	Seal Ring
c.	Press Ring
d.	Bladder
e.	Hydraulic port
f.	Anti-extrusion ring
g.	supporting ring
h.	Washer
i.	Gas valve(Inflating valve)
j.	Supporting Spacer</t>
  </si>
  <si>
    <t>Model: NXQ-AB-40/31.5-L-E
complete bladder set (each set parts listed below):
a.	Check ring{SF}
b.	Seal Ring
c.	Press Ring
d.	Bladder
e.	Hydraulic port
f.	Anti-extrusion ring
g.	supporting ring
h.	Washer
i.	Gas valve(Inflating valve)
j.	Supporting Spacer</t>
  </si>
  <si>
    <t>LP Gland Rings with respecctive spring (complete Set)</t>
  </si>
  <si>
    <t>HIP Gland Rings with respecctive spring (complete Set)</t>
  </si>
  <si>
    <t xml:space="preserve">Linear Electric Actuator
Type: STO-490-22NM
230V, IP65, STD Thrust: 5KN
Max Stroke: 50mm
Sl No 200912167582
Make: REGADA 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</si>
  <si>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JSPL Angul Basis.
Delivery Time: 6 weeks from date of receipt of confirm PO. (Covid-19 may affect delivery schedules)
G/Warranty: 12 months from date of  DISPATCH - only for manufacturing defects
Payment Terms: 100% alongwith taxes etc against PI Basis.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</si>
  <si>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ELECTRODE FOR HYDRASTEP
PROCESS CONNECTION :M18 X 1.5,
MODEL : DSY - 02
Make: Suzhou industrial parktianchi</t>
  </si>
  <si>
    <t>HYDRASTEP INDICATOR
MODEL NO: DS- 8S-19
Make: Suzhou industrial parktianchi</t>
  </si>
  <si>
    <t>COPPER WASHER FOR HYDRASTEP PROBE
ID - 18.2mm, OD - 23.5mm, THICKNESS - 1.8mm</t>
  </si>
  <si>
    <t>FLAME DETECTOR UNDER
BED XHT 53 A 500 / 3B
Make-XUZHOU COMBUSTION CONTROL (XCC) CHINA</t>
  </si>
  <si>
    <t>FLAME DETECTOR UPPER
BED XHT 53 A 1400 / 3B
Make-XUZHOU COMBUSTION CONTROL (XCC) CHINA</t>
  </si>
  <si>
    <t>HEA IGNITION TRANSFORMER,XDH-20C
Make-XUZHOU COMBUSTION CONTROL (XCC) CHINA</t>
  </si>
  <si>
    <t>SPARK ROD WITH REMOVABLE SPARK TIP,XDZ-1-2200/18
UPPER BED</t>
  </si>
  <si>
    <t>SPARK ROD WITH REMOVABLE SPARK TIP,XDZ-1-2300/18
UNDER BED</t>
  </si>
  <si>
    <t>SPARK ROD CONNECTING CABLE XDL-6000
Make-XUZHOU COMBUSTION CONTROL (XCC) CHINA</t>
  </si>
  <si>
    <t>Target</t>
  </si>
  <si>
    <t>PR Qty</t>
  </si>
  <si>
    <t>Consider</t>
  </si>
  <si>
    <t>Anne</t>
  </si>
  <si>
    <t>NA</t>
  </si>
  <si>
    <t>Phase Sequence Detection Module
Part Number: XXJC
for Electrical Actuator
Type: SND-Z10-18S
100NM, 18 RPM, 415C/50Hz, 0.18KW, 4 Poles, F Ins, Duty S2-15
Make: Changzhou Power Station Auxiliary Equipment Co Ltd</t>
  </si>
  <si>
    <t>Ea</t>
  </si>
  <si>
    <t>Extended Module (Main Control Card)
Part Number: TP400-PLC
for Electrical Actuator
Type: SND-Z10-18S
100NM, 18 RPM, 415C/50Hz, 0.18KW, 4 Poles, F Ins, Duty S2-15
Make: Changzhou Power Station Auxiliary Equipment Co Ltd</t>
  </si>
  <si>
    <t>Main Display board
Part No: TP400-D-3
for Electrical Actuator
Type: SND-Z10-18S
100NM, 18 RPM, 415C/50Hz, 0.18KW, 4 Poles, F Ins, Duty S2-15
Make: Changzhou Power Station Auxiliary Equipment Co Ltd</t>
  </si>
  <si>
    <t>GST Rate 18% applicable against respective HSN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</si>
  <si>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SEL (JPL) Nellore transporter go-down Basis (Transit insurance in scope of buyer).
Delivery Time: 2- 4 weeks from date of receipt of confirm PO. (Covid-19 may affect delivery schedules)
G/Warranty: 12 months from date of  DISPATCH - only for manufacturing defects
Payment Terms: 100% within 7 days of delivery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</si>
  <si>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Power Module
for Electrical Actuator
Type: SND-Z10-18S
100NM, 18 RPM, 415C/50Hz, 0.18KW, 4 Poles, F Ins, Duty S2-15
Make: Changzhou Power Station Auxiliary Equipment Co Ltd</t>
  </si>
  <si>
    <t>AC capacitor
Model No: CJ48-2-1000V-0.22UF
Make: Shanghai, China
Application: For Automatic Voltage Regulator</t>
  </si>
  <si>
    <t>HSN</t>
  </si>
  <si>
    <t>Pneumatic Cylinder Model GPM80x500</t>
  </si>
  <si>
    <t>Seal Kit For Above</t>
  </si>
  <si>
    <t>Pneumatic Cylinder Model GPM40x500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</si>
  <si>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JSPL Angul Basis.
Delivery Time: 8 weeks from date of receipt of confirm PO. (Covid-19 may affect delivery schedules)
G/Warranty: 12 months from date of  DISPATCH - only for manufacturing defects
Payment Terms: 100% alongwith taxes etc against PI Basis.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</si>
  <si>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SEL (JPL) Nellore transporter go-down Basis (Transit insurance in scope of buyer).
Delivery Time: Item 1: 2- 4 weeks &amp; Item 2: 6 to 8 weeks from date of receipt of confirm PO. (Covid-19 may affect delivery schedules)
G/Warranty: 12 months from date of  DISPATCH - only for manufacturing defects
Payment Terms: 30% advance with PO &amp; balance against material readiness at OEM works.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</si>
  <si>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Limit switches, 
Model : D4A-3110N
Make : OMRON, 
NEMA A 600,2A,125VAC
Receptacle box : G 1/2 conduit (SPDT, double-break)
Switch Box :SPDT, double-break, without indicator
Head : Top plunger, roller</t>
  </si>
  <si>
    <t>Limit switches 
Model : WLD2
Make : OMRON,
 NEMA A 600 2A,250VAC, 2A 48V DC</t>
  </si>
  <si>
    <t>QCNRV LIMIT SWITCHES ASSEMBLY
E4-MEC 4P SWITCHES, M/Y 20090518, P/N 258255, SWITCH BOX  E4-MEC 4 PC</t>
  </si>
  <si>
    <t>QCNRV SOV'S
ID NR 3803(COIL), 230 V , 18 VA , 40-60 HZ , ID NO 2401103(VALVE ASSEMBLY), Norgen</t>
  </si>
  <si>
    <t>SR Trading 5189</t>
  </si>
  <si>
    <t>SR Trading 1254</t>
  </si>
  <si>
    <t>LVDT, 
Make Shizhong
Model No: HL-3-100-15 
Range: 0 - 100 mm, SL.NO. 104792</t>
  </si>
  <si>
    <t>LVDT, 
Make Shizhong
Model No: HL-3-150-15
Range: 0 - 150 mm, SL.NO. 067683</t>
  </si>
  <si>
    <t>LVDT, 
Make Shizhong
Model No: TDZ-1-H 
Range: 0 - 60 mm, SL.NO. 068081</t>
  </si>
  <si>
    <t>Dynamic</t>
  </si>
  <si>
    <t>Gina- OEM</t>
  </si>
  <si>
    <t>Gina-Replace</t>
  </si>
  <si>
    <t>FLAME SCANNER AMPLIFIER
Flame Detector Module For Furnace Flame Scanner of Boiler,
Model No- XHT-5,
Local Display- Both Frequency &amp;amp; Intensity,analog output for</t>
  </si>
  <si>
    <t>Reset device- Solenoid Valve</t>
  </si>
  <si>
    <t>Part</t>
  </si>
  <si>
    <t>HTC Part Number</t>
  </si>
  <si>
    <t>Model No</t>
  </si>
  <si>
    <t>Throttle Valve</t>
  </si>
  <si>
    <t>SHV20</t>
  </si>
  <si>
    <t>E321F32/4270/DC220V</t>
  </si>
  <si>
    <t>135.324Z</t>
  </si>
  <si>
    <t>Throttle Orifice</t>
  </si>
  <si>
    <t>Q235-AF</t>
  </si>
  <si>
    <t>70.324.015</t>
  </si>
  <si>
    <t>00.000.069</t>
  </si>
  <si>
    <t>Washer</t>
  </si>
  <si>
    <t>M20,M22,M36</t>
  </si>
  <si>
    <t>GB93-87</t>
  </si>
  <si>
    <t>M6</t>
  </si>
  <si>
    <t>DEH Main Oil Pump
Make-Harbin Turbine Company ltd, China, Working Pressure-14 Mpa, Working Temperature-80 Deg.C</t>
  </si>
  <si>
    <t>Diaphragm Valve</t>
  </si>
  <si>
    <t>K10.790Z(B)</t>
  </si>
  <si>
    <t>HP Startup Oil Pump</t>
  </si>
  <si>
    <t>SNH210R40E6.7</t>
  </si>
  <si>
    <t>Ashok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</si>
  <si>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SEL (JPL) Nellore transporter go-down Basis (Transit insurance in scope of buyer).
Delivery Time: Item 1 to 5-within 6 weeks &amp; Item 6 to 8: 8-10 weeks from date of receipt of advance. (Covid-19 may affect delivery schedules)
G/Warranty: 12 months from date of  DISPATCH - only for manufacturing defects
Payment Terms: 30% advance with PO &amp; balance against material readiness at OEM works.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</si>
  <si>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CARD, ELECTRONIC;
TYPE: MAIN PCB, FUNCTION: ACTUATOR MAIN PCB PART NO
17 DRG NO-3100-000 ACTUATOR TYPE- 30AI MAKESHANGHAI
INSTRUMENT AUTOMATION CO LTD, CURRENT:
0.5A, POTENTIAL: 415V; P/N: 17 F/ACTUATOR,Mnfr:
SHANGHAI AUTOMATION INSTRUMENTATION CO LTD</t>
  </si>
  <si>
    <t>CARD, ELECTRONIC;
TYPE: POWER CARD WITH TRANSFORMER, FUNCTION: ACTUATOR MAIN PCB PART NO
19 DRG NO-3100-000 ACTUATOR TYPE- 30AI MAKESHANGHAI
INSTRUMENT AUTOMATION CO LTD, CURRENT:
0.5A, POTENTIAL: 415V; P/N: 19 F/ACTUATOR,Mnfr:
SHANGHAI AUTOMATION INSTRUMENTATION CO LTD</t>
  </si>
  <si>
    <t>CARD, ELECTRONIC;
TYPE: FEEDBACK CARD WITH Gear mechanism(include 7), FUNCTION: ACTUATOR FEEDBACK MECHANISM, PN 6&amp; 7 DRG NO-3100-000 ACTUATOR TYPE- 30AI MAKESHANGHAI
INSTRUMENT AUTOMATION CO LTD, CURRENT:
0.5A, POTENTIAL: 415V; P/N: 6&amp;7 F/ACTUATOR,Mnfr:
SHANGHAI AUTOMATION INSTRUMENTATION CO LTD</t>
  </si>
  <si>
    <t>KNOB, SELECTION/ON &amp; OFF;
TYPE: KNOB PART NO- 14 &amp; 15 DRG NO-3100-000 ACTUATOR TYPE- 30AI MAKESHANGHAI
INSTRUMENT AUTOMATION CO LTD, CURRENT:
0.5A, POTENTIAL: 415V; P/N: 19 F/ACTUATOR,Mnfr:
SHANGHAI AUTOMATION INSTRUMENTATION CO LTD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</si>
  <si>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SEL (JPL) Nellore transporter go-down Basis (Transit insurance in scope of buyer).
Delivery Time: 6 to 8 weeks from date of receipt of confirm PO. (Covid-19 may affect delivery schedules)
G/Warranty: 12 months from date of  DISPATCH - only for manufacturing defects
Payment Terms: 30% advance with PO &amp; balance against material readiness at OEM works.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</si>
  <si>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Part No</t>
  </si>
  <si>
    <t>Make</t>
  </si>
  <si>
    <t>TM0180-08-00-09-05-02</t>
  </si>
  <si>
    <t>Proximity Probe</t>
  </si>
  <si>
    <t>Description</t>
  </si>
  <si>
    <t>Standard 8mm Probe,
M10×1,with armor,
Unthreaded Length 0mm,
Case Length 90mm,
Total Length 0.5m,
Connector Type</t>
  </si>
  <si>
    <t>PVTVM Inc</t>
  </si>
  <si>
    <t>Extension Cable</t>
  </si>
  <si>
    <t>TM0181-045-00</t>
  </si>
  <si>
    <t>Extension Cable 4.5meter
without armor</t>
  </si>
  <si>
    <t>Radial Vibration Loop Powered Transmitter</t>
  </si>
  <si>
    <t>TR4101-A03-E00-G00-S00</t>
  </si>
  <si>
    <t>Full Scale 0-10mils (250um)pk-pk,
For TM0180, 8mm Probe, 5m Cable,
DIN rail mounting,
CE</t>
  </si>
  <si>
    <t>Mohit PVTM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</si>
  <si>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SEL (JPL) Nellore transporter go-down Basis (Transit insurance in scope of buyer).
Delivery Time: 4 to 6 weeks from date of receipt of advance. (Covid-19 may affect delivery schedules)
G/Warranty: 12 months from date of  DISPATCH - only for manufacturing defects
Payment Terms: 40% advance with PO &amp; balance against material readiness at OEM works.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</si>
  <si>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Feeder Controller, Type: 2105</t>
  </si>
  <si>
    <t>Coal Feeder Controller, Type: YE58-A</t>
  </si>
  <si>
    <t>AD11-25/40-1G</t>
  </si>
  <si>
    <t>Push Button switch, 240V AC</t>
  </si>
  <si>
    <t>LA38-11D/301</t>
  </si>
  <si>
    <t>ZB2-BE101C</t>
  </si>
  <si>
    <t>Switch, 240V AC, 3a</t>
  </si>
  <si>
    <t>YE58-A</t>
  </si>
  <si>
    <t>LPS-100 Kg</t>
  </si>
  <si>
    <t>Load Cell, Make Vishay Type: Celtron</t>
  </si>
  <si>
    <t>SV-13-12V-0-0-00-H016.147 1012</t>
  </si>
  <si>
    <t xml:space="preserve">GS020600V 1048 WD020600V </t>
  </si>
  <si>
    <t>POPPET valve</t>
  </si>
  <si>
    <t>SV-13-12V-0-0-00-H016.147M 939</t>
  </si>
  <si>
    <t>300AA00126A</t>
  </si>
  <si>
    <t>COIL, MCSCH230AG000010</t>
  </si>
  <si>
    <t>300AA00278A</t>
  </si>
  <si>
    <t>COIL, MCSCJ240AG000010</t>
  </si>
  <si>
    <t>Nordfluid</t>
  </si>
  <si>
    <t>Screw in Cartridge valve</t>
  </si>
  <si>
    <t>Eaton Vicker</t>
  </si>
  <si>
    <t>Parker</t>
  </si>
  <si>
    <t>SV4-10V-0-0-00 1118</t>
  </si>
  <si>
    <t>SV4-10V-0-0-00 1009</t>
  </si>
  <si>
    <t>Beijing Guodian Zhishen Control Technology Co. Ltd.</t>
  </si>
  <si>
    <t>IPC</t>
  </si>
  <si>
    <t>Tacho generator
FOR BOILER COAL FEEDER
INPUT : 14.98 V DC
OUTPUT:12.5 V DC
DIMENSION: 12 mm dia with pitch 0.5 mm &amp; 27 mm height</t>
  </si>
  <si>
    <t>Timer relay with base</t>
  </si>
  <si>
    <t>H3Y-2</t>
  </si>
  <si>
    <t>Z-15GW22-B</t>
  </si>
  <si>
    <t>LA38-1</t>
  </si>
  <si>
    <t>Coil PARKER CCP 230M 230VDC 19W</t>
  </si>
  <si>
    <t>Microswitch (Omron make)</t>
  </si>
  <si>
    <t xml:space="preserve">Slector switch </t>
  </si>
  <si>
    <t>Main Drawing No</t>
  </si>
  <si>
    <t>Dwg Sl No</t>
  </si>
  <si>
    <t>Item Name</t>
  </si>
  <si>
    <t>Cylindrical pin</t>
  </si>
  <si>
    <t>Plug screw</t>
  </si>
  <si>
    <t>MSV Seat</t>
  </si>
  <si>
    <t>Gland sleeve</t>
  </si>
  <si>
    <t>Isolation sleeve</t>
  </si>
  <si>
    <t xml:space="preserve">CV Stem steeve </t>
  </si>
  <si>
    <t>CV Stem</t>
  </si>
  <si>
    <t xml:space="preserve"> Liner</t>
  </si>
  <si>
    <t>Pins</t>
  </si>
  <si>
    <t>Valve seat</t>
  </si>
  <si>
    <t>Valve stem</t>
  </si>
  <si>
    <t>Pin</t>
  </si>
  <si>
    <t>Keys</t>
  </si>
  <si>
    <t>Screw</t>
  </si>
  <si>
    <t>Sleeve</t>
  </si>
  <si>
    <t>valve stem sleeve</t>
  </si>
  <si>
    <t>RSV  and IV valve spares 
Main Drawing No: 136.309Z(B)-2</t>
  </si>
  <si>
    <t xml:space="preserve">HP MSV &amp;CV Spares
Main Drawing No: 136.301Z(B)-2
</t>
  </si>
  <si>
    <t>Note: Order shall clearely mention that balance quantity of 06 Numbers (for 03 units) shall be processed with us post completion of above supplies .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</si>
  <si>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SEL (JPL) Nellore transporter go-down Basis (Transit insurance in scope of buyer).
Delivery Time: 6 to 8 weeks from date of receipt of advance. (Covid-19 may affect delivery schedules)
G/Warranty: 12 months from date of  DISPATCH - only for manufacturing defects
Payment Terms: 50% advance with PO &amp; balance against material readiness at OEM works.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</si>
  <si>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IPC System OS upgrade to latest version of WINDOWS with preinstalled software &amp; settings- English language
Beijing Guodian Zhishen Control Technology Co. Ltd.</t>
  </si>
  <si>
    <t>Andavar Engg</t>
  </si>
  <si>
    <t>Ridhi-USD</t>
  </si>
  <si>
    <t>Harbin Indi</t>
  </si>
  <si>
    <t>SHANGHAI SAIAO AUTOMATION CONTROL
EQUIPMENT CO.LTD</t>
  </si>
  <si>
    <t>FGD</t>
  </si>
  <si>
    <t>FIELD GROUNDING DETECTOR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</si>
  <si>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SEL (JPL) Nellore transporter go-down Basis (Transit insurance in scope of buyer).
Delivery Time: 16 to 18 weeks from date of receipt of advance. (Covid-19 may affect delivery schedules)
G/Warranty: 12 months from date of  DISPATCH - only for manufacturing defects
Payment Terms: 50% advance with PO &amp; balance against material readiness at OEM works.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</si>
  <si>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 xml:space="preserve">HANGZHOU TIANMING </t>
  </si>
  <si>
    <t>TM-II-CY.PCB</t>
  </si>
  <si>
    <t>TM-II-CF.PCB</t>
  </si>
  <si>
    <t>ESP PCB CARDS</t>
  </si>
  <si>
    <t>MTC500-14</t>
  </si>
  <si>
    <t>Thyristor</t>
  </si>
  <si>
    <t>EDPF-AI16(ma)</t>
  </si>
  <si>
    <t xml:space="preserve">Analog input module </t>
  </si>
  <si>
    <t>I/O module base</t>
  </si>
  <si>
    <t>Base</t>
  </si>
  <si>
    <t>CONTROLLER</t>
  </si>
  <si>
    <t>RECTIFIER</t>
  </si>
  <si>
    <t>INDICATING LAMP</t>
  </si>
  <si>
    <t>SELECTOR SWITCH</t>
  </si>
  <si>
    <t>PUSH BUTTON</t>
  </si>
  <si>
    <t>MCB</t>
  </si>
  <si>
    <t>RELAY</t>
  </si>
  <si>
    <t>AUX CONTACT BLOCK</t>
  </si>
  <si>
    <t>CONTACTOR</t>
  </si>
  <si>
    <t>COIL</t>
  </si>
  <si>
    <t>RESISTORS</t>
  </si>
  <si>
    <t>CAPACITORS</t>
  </si>
  <si>
    <t>LIMIT SWITCHES</t>
  </si>
  <si>
    <t>ITEM</t>
  </si>
  <si>
    <t>XMT605</t>
  </si>
  <si>
    <t>MDQ 60H16</t>
  </si>
  <si>
    <t>AD16-22D 220VDC</t>
  </si>
  <si>
    <t>800F-X10 SER.A</t>
  </si>
  <si>
    <t>AR22F0Y</t>
  </si>
  <si>
    <t>C65H-DC</t>
  </si>
  <si>
    <t>SERIE QR-C</t>
  </si>
  <si>
    <t>MK2KP</t>
  </si>
  <si>
    <t>LADN20 C</t>
  </si>
  <si>
    <t>LC1 D12MD</t>
  </si>
  <si>
    <t>MZBF-215-10</t>
  </si>
  <si>
    <t>RX20-75</t>
  </si>
  <si>
    <t>CJ41-2</t>
  </si>
  <si>
    <t>YBLX-19/K</t>
  </si>
  <si>
    <t>DESCRPTION/MAKE</t>
  </si>
  <si>
    <t>HBKJ</t>
  </si>
  <si>
    <t>REDLY</t>
  </si>
  <si>
    <t>APT MAKE, BLUE-15,</t>
  </si>
  <si>
    <t>APT MAKE, WHITE-10,</t>
  </si>
  <si>
    <t>APT MAKE, RED-10</t>
  </si>
  <si>
    <t>APT MAKE, GREEN-10</t>
  </si>
  <si>
    <t>RED-10</t>
  </si>
  <si>
    <t>GREEN-10</t>
  </si>
  <si>
    <t>FRSCHNEIDER, C10, 220VDC, 2 POLE</t>
  </si>
  <si>
    <t>FRSCHNEIDER, C06, 220VDC, 1 POLE</t>
  </si>
  <si>
    <t>RELECO, DC220V</t>
  </si>
  <si>
    <t>OMRON</t>
  </si>
  <si>
    <t>SCHNEIDER</t>
  </si>
  <si>
    <t>300Ω</t>
  </si>
  <si>
    <t>CHNT</t>
  </si>
  <si>
    <t>ALLEN BRADLEY ( NON LATCHING TYPE)</t>
  </si>
  <si>
    <t>SOV</t>
  </si>
  <si>
    <t>SR551-RN2SDW-143</t>
  </si>
  <si>
    <t>2µF±10%, 400VDC</t>
  </si>
  <si>
    <t>43- Emma</t>
  </si>
  <si>
    <t>Load Cell</t>
  </si>
  <si>
    <t>LS-100 Kg</t>
  </si>
  <si>
    <t>Suncell</t>
  </si>
  <si>
    <t>RU4S-A220</t>
  </si>
  <si>
    <t>IDEC
6A 250VAC
6A 30VDC
220-240VAC</t>
  </si>
  <si>
    <t>RJ2S-CL-A230</t>
  </si>
  <si>
    <t>8A 250VAC
8A 30VDC
230VAC</t>
  </si>
  <si>
    <t>Push Button with Indicator</t>
  </si>
  <si>
    <t>240V AC, 25 Red &amp; 25- Green</t>
  </si>
  <si>
    <t>Indicator</t>
  </si>
  <si>
    <t>Switch</t>
  </si>
  <si>
    <t>240V AC, 3a</t>
  </si>
  <si>
    <t>Selector switch</t>
  </si>
  <si>
    <t>LA38-11</t>
  </si>
  <si>
    <t>SHENYANG SPECIAL ELECTROMAGNETIC EQUIP FACTORY 220VDC, 4.68A, 10mm STROKE</t>
  </si>
  <si>
    <t>Inch</t>
  </si>
  <si>
    <t>HEAT IGNITION EXCITER</t>
  </si>
  <si>
    <t>SPARK TUBE</t>
  </si>
  <si>
    <t>XDH-20C</t>
  </si>
  <si>
    <t>XDH-20</t>
  </si>
  <si>
    <t>XCC Make</t>
  </si>
  <si>
    <t>UW-25</t>
  </si>
  <si>
    <t>Coil, 220V AC
for SOV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</si>
  <si>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SEL (JPL) Nellore transporter go-down Basis (Transit insurance in scope of buyer).
Delivery Time: 6 to 8 weeks from date of receipt of advance. (Covid-19 may affect delivery schedules)
G/Warranty: 12 months from date of  DISPATCH - only for manufacturing defects
Payment Terms: 100% against PI.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</si>
  <si>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XUZHOU COMBUSTION CONTROL (XCC) CHINA</t>
  </si>
  <si>
    <t xml:space="preserve">Flame scanner detector Assembly UNDER BED XHT 53 A 500 / 3B
</t>
  </si>
  <si>
    <t xml:space="preserve">Flame scanner detector Assembly  UPPER BED XHT 53 A 1400 / 3B
</t>
  </si>
  <si>
    <t>Flame scanner detector Assembly</t>
  </si>
  <si>
    <t>UNDER BED XHT53A500/3B</t>
  </si>
  <si>
    <t>UPPER BED XHT 53A1400/3B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</si>
  <si>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SEL (JPL) Nellore transporter go-down Basis (Transit insurance in scope of buyer).
Delivery Time: 4 weeks from date of receipt of advance. (Covid-19 may affect delivery schedules)
G/Warranty: 12 months from date of  DISPATCH - only for manufacturing defects
Payment Terms: 40% advance with PO &amp; balance against material readiness at OEM works.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</si>
  <si>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 xml:space="preserve">NADI MODEL: C08T18D0P/H 220VDC </t>
  </si>
  <si>
    <t>3 WAY DIRECT ACTING SOLENOID VALVES.	
COMPLETE VALVE.</t>
  </si>
  <si>
    <t>sales4@valconmatic.com</t>
  </si>
  <si>
    <t>NADI P/N: B6A220DC/E</t>
  </si>
  <si>
    <t>Only Coil</t>
  </si>
  <si>
    <t>OEM</t>
  </si>
  <si>
    <t>Tacho wheel
As per existing installtion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</si>
  <si>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SEL (JPL) Nellore transporter go-down Basis (Transit insurance in scope of buyer).
Delivery Time: 4 to 6 weeks from date of receipt of advance. (Covid-19 may affect delivery schedules)
G/Warranty: 12 months from date of  DISPATCH - only for manufacturing defects
Payment Terms: 100% against PI.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</si>
  <si>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Actuator Model</t>
  </si>
  <si>
    <t>Electrical Actuator
Type: SND-QTJ25-1S
Make: Changzhou Power Station Auxiliary Equipment Co Ltd</t>
  </si>
  <si>
    <t>Position sensor with cable</t>
  </si>
  <si>
    <t>Torque Sensor with cable</t>
  </si>
  <si>
    <t>Electrical Actuator
Type: SND-QTJ50-0.6S
Make: Changzhou Power Station Auxiliary Equipment Co Ltd</t>
  </si>
  <si>
    <t>Electrical Actuator
Type: SND-Z10-18S</t>
  </si>
  <si>
    <t>Electrical Actuator
Type: SND-180-18S</t>
  </si>
  <si>
    <t>Electrical Actuator
Type: SND-Z20-18S</t>
  </si>
  <si>
    <t>Terminal Block with cable</t>
  </si>
  <si>
    <t>Motor</t>
  </si>
  <si>
    <t>Electrical Actuator
Type: AIMI 30AI</t>
  </si>
  <si>
    <t>Folomatic Card</t>
  </si>
  <si>
    <t>Model</t>
  </si>
  <si>
    <t>SND-QTJ25-1S</t>
  </si>
  <si>
    <t>SND-QTJ50-0.6S</t>
  </si>
  <si>
    <t>SND-Z10-18S</t>
  </si>
  <si>
    <t>SND-Z20-18S</t>
  </si>
  <si>
    <t>SND-180-18S</t>
  </si>
  <si>
    <t>Shangh-yi
AIMI 30AI</t>
  </si>
  <si>
    <t>SND-Z60-18S</t>
  </si>
  <si>
    <t>Electrical Actuator
Type: SND-Z60-18S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</si>
  <si>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SEL (JPL) Nellore transporter go-down Basis (Transit insurance in scope of buyer).
Delivery Time: 2- 4 weeks from date of receipt of confirm PO. (Covid-19 may affect delivery schedules)
G/Warranty: 12 months from date of  DISPATCH - only for manufacturing defects
Payment Terms: 50% advance along with PO &amp; balance against PI on readiness. 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</si>
  <si>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Single phase card</t>
  </si>
  <si>
    <t>Display card</t>
  </si>
  <si>
    <t>Terminal block female with cable</t>
  </si>
  <si>
    <t>Terminal block male with cable</t>
  </si>
  <si>
    <t>Terminal block female with cable, Make: SND Act</t>
  </si>
  <si>
    <t>Terminal block male with cable, Make: SND Act</t>
  </si>
  <si>
    <t>Material</t>
  </si>
  <si>
    <t>Tube Size</t>
  </si>
  <si>
    <t>Location</t>
  </si>
  <si>
    <t>Corten/09CuPCRNiA</t>
  </si>
  <si>
    <t>OD 60mmxThick 2.5 mm x Long 6850 mm</t>
  </si>
  <si>
    <t>OD 51mmxThick 3 mm x Long 1000 mm</t>
  </si>
  <si>
    <t>OD 60mmxThick 4 mm x Long 6850 mm</t>
  </si>
  <si>
    <t>OD 51mmxThick 3mm x Long 1000 mm</t>
  </si>
  <si>
    <t>PA</t>
  </si>
  <si>
    <t>OD 60mmxThick 2.5 mm x Long 7250 mm</t>
  </si>
  <si>
    <t>OD 60mmxThick 4 mm x Long 7250 mm</t>
  </si>
  <si>
    <t>SA Cold</t>
  </si>
  <si>
    <t>PA Cold</t>
  </si>
  <si>
    <t>SA</t>
  </si>
  <si>
    <t>PA (Hot)</t>
  </si>
  <si>
    <t>SA (Hot)</t>
  </si>
  <si>
    <t>Q235-A</t>
  </si>
  <si>
    <t>20G (Seamless)</t>
  </si>
  <si>
    <t>TPP Boilers</t>
  </si>
  <si>
    <t>Weight/Unit</t>
  </si>
  <si>
    <t>gmpipetubecorp@gmail.com</t>
  </si>
  <si>
    <t>MAKE: BELLOFRAM SR551-RN2SDW-143</t>
  </si>
  <si>
    <t>10 mtrs long Teflon insulated &amp;overall SS Braided flexible  cable                             
Bulb Dia:06mm
Bulb length: 18mm
outer hallow moveable tube OD dia: 06mm</t>
  </si>
  <si>
    <t>Item &amp; Make</t>
  </si>
  <si>
    <t>Turbine Bearing RTD
Make: Chinese OEM</t>
  </si>
  <si>
    <t>MOT level Guage cum transmitter
Make: Chinese OEM</t>
  </si>
  <si>
    <t>LEVEL TRANSMITTER FOR MOT [LT CUM GAUGE]
HEIGHT=1500 mm [-40 TO 110 CM ]  TN &lt; = 1.0 MPA,
T &lt; = 80 C , DC=24V ,4 - 20 MA.,
Media: lubrication Oil (Servo prime T46)
Flange--SIZE : 220MM [3" 300CLASS](PCD180/6 HOLES)
No. 0410-4570196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</si>
  <si>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SEL (JPL) Nellore transporter go-down Basis (Transit insurance in scope of buyer).
Delivery Time: 12 to 14 weeks from date of receipt of advance. (Covid-19 may affect delivery schedules)
G/Warranty: 12 months from date of  DISPATCH - only for manufacturing defects
Payment Terms: 100% against PI.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</si>
  <si>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SIMO</t>
  </si>
  <si>
    <t>DC Motor, SIMO Make</t>
  </si>
  <si>
    <t>ZDB-61-L3-17kW-2950RPM-220V</t>
  </si>
  <si>
    <t>Z2- 81-30KW-1500RPM-220V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</si>
  <si>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SEL (JPL) Nellore transporter go-down Basis (Transit insurance in scope of buyer).
Delivery Time: 18 to 20 weeks from date of receipt of advance. (Covid-19 may affect delivery schedules)
G/Warranty: 12 months from date of  DISPATCH - only for manufacturing defects
Payment Terms: 100% against PI.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</si>
  <si>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S No</t>
  </si>
  <si>
    <t>DESCRIPTION</t>
  </si>
  <si>
    <t>Qty</t>
  </si>
  <si>
    <t> Rate  </t>
  </si>
  <si>
    <t> Amount </t>
  </si>
  <si>
    <t>Load Cell, LS-100 Kg, Make: Suncell</t>
  </si>
  <si>
    <t>NO's</t>
  </si>
  <si>
    <t>SPARK TUBE, XDH-20, XCC Make</t>
  </si>
  <si>
    <t>Hydrastep Indicator Model No:DS-8S-19 </t>
  </si>
  <si>
    <t>SPARK ROD, XDZ-1-2200/18, UPPER BED</t>
  </si>
  <si>
    <t>SPARK ROD, XDZ-1-2300/18, UNDER BED</t>
  </si>
  <si>
    <t>Net price</t>
  </si>
  <si>
    <t>ELECTRODE FOR HYDRASTEP
PROCESS CONNECTION :M18 X 1.5, MODEL : DSY - 02
Make: Suzhou industrial parktianchi</t>
  </si>
  <si>
    <t>Q-international</t>
  </si>
  <si>
    <t>Luckypower</t>
  </si>
  <si>
    <t>Item</t>
  </si>
  <si>
    <t>Pump</t>
  </si>
  <si>
    <t>VARIABLE DISPLACEMENT PISTON PUMP , A3H37-FR01KK-10-X33 Make Yuken_x000B_MEDIUM- ISO VG 32 OIL (32L-TSA TURBINE OIL/GB 11120-89)_x000B_WORKING TEMP- 20 ~ 65 Deg C_x000B_FLOW- 37 CM3/REV_x000B_MIN   FLOW- 16 CM3/REV_x000B_RATED WORKING  PRESS- 250 KG/CM2 MAX WORKING  PRESS- 350 KG/CM2 MAX SPEED- 2700 RPM_x000B_MIN SPEED- 600 RPM</t>
  </si>
  <si>
    <t>Motor for DC JOP, 30KW, 220V DC, 156.7 A, Field Current : 2.25 A, 1500 RPM, Ins Class : B, Duty – S1,Model:Z2-81</t>
  </si>
  <si>
    <t>SPARK ROD CONNECTING CABLE XDL-6000 , 
Make-XUZHOU COMBUSTION CONTROL (XCC) CHINA</t>
  </si>
  <si>
    <t>Field controller Unit</t>
  </si>
  <si>
    <t>Model-FCU711-S 
Make: SUPCON Technology Co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</si>
  <si>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SEL (JPL) Nellore transporter go-down Basis (Transit insurance in scope of buyer).
Delivery Time: 8 to 10 weeks from date of receipt of advance. (Covid-19 may affect delivery schedules)
G/Warranty: 12 months from date of  DISPATCH - only for manufacturing defects
Payment Terms: 100% against PI.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</si>
  <si>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DE Bearing Housing</t>
  </si>
  <si>
    <t>NDE Bearing Housing</t>
  </si>
  <si>
    <t>Electrical Motor</t>
  </si>
  <si>
    <t>1. 4500 KW
Voltage- 6600 V
Ampere - 454.2 A
Standard - JB/T10315.2- 2002
RPM- 2985 r/min
Ins class- F
IP- 55
Model: YXKS-630-2
Make &amp; Other technical details- as per user pics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</si>
  <si>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SEL (JPL) Nellore transporter go-down Basis (Transit insurance in scope of buyer).
Delivery Time: 32 to 40 weeks from date of receipt of advance. (Covid-19 may affect delivery schedules)
G/Warranty: 12 months from date of  DISPATCH - only for manufacturing defects
Payment Terms: 100% against PI.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</si>
  <si>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DE Bearing Housing, Make:Zhuji
TYPE- DDQ 18-180 B, STANDARD: JB/T5888</t>
  </si>
  <si>
    <t>NDE Bearing Housing, Make:Zuji
TYPE- DDQ 18-180 BJ, STANDARD: JB/T5888</t>
  </si>
  <si>
    <t>DE Bearing Housing, Make:SUND
TYPE-CHZCQ 18-180, STANDARD: DIN31694, 
SL NO: CG1512-0001-1</t>
  </si>
  <si>
    <t>NDE Bearing Housing, Make:SUND
TYPE-CHZCB 18-180,STANDARD: DIN31694,
SL NO: CG1512-0001-1"</t>
  </si>
  <si>
    <t>Relay</t>
  </si>
  <si>
    <t>Relay
Model SWP20
For Use in Coal Feeder panel
Other Details- as per user pics</t>
  </si>
  <si>
    <t xml:space="preserve">DP switch
( body mounted). </t>
  </si>
  <si>
    <t>Vortex Plate Assembly for Cyclone Separator</t>
  </si>
  <si>
    <t>Shanghai Hongqing Industry Co. Ltd</t>
  </si>
  <si>
    <t xml:space="preserve">Vortex Plate Assembly for Cyclone Separator
MOC- SA253 MA,
Dimensions- As per following drawings 
CENTRAL CYLINDER drawing DWG-330B04-4-0 including boom , hanging ear , ring , shelf , etc.
•	DWG-330B04-0 
•	DWG- 330B04-4-0- Central Cylindrical part
•	DWG- 330B04-4-4-0 - Ear Ring
•	DWG- 330B04-4-17 - Filling
•	DWG-330B04-4-19 - Cirque
•	DWG-330B04-4-20-0 - Bracket
</t>
  </si>
  <si>
    <t>1A</t>
  </si>
  <si>
    <t>1B</t>
  </si>
  <si>
    <t>DIFFERENTIAL PRESSURE TRANSMITTERS
PRESS:0.2MPA,SUPPLY:AC 220V
0.2A, DC 24V 2A, MM : CMS-1
Technical details as per user pic.</t>
  </si>
  <si>
    <t>DIFFERENTIAL PRESSURE TRANSMITTERS
PRESS:0.35MPA,SUPPLY:AC 220V
0.2A, DC 24V 2A, MM : CMS-1
Technical details as per user pic.</t>
  </si>
  <si>
    <t>SiCv</t>
  </si>
  <si>
    <t>Screw in Cartridge valve
SV-13-12V-C-0-00
Make: Eaton</t>
  </si>
  <si>
    <t>Screw in Cartridge valve
SV4-10V-C-0-00
Make: Eaton</t>
  </si>
  <si>
    <t>Daniel</t>
  </si>
  <si>
    <t>Assembly, Actuator
Dwg No.: 139.357Z(B)-22
Governing Valve - Right
Make: HTC</t>
  </si>
  <si>
    <t>100000049922</t>
  </si>
  <si>
    <t>100000049923</t>
  </si>
  <si>
    <t>DEH REGENERATION PUMP
TYPE - GEAR PUMP, 
CODE:06010009</t>
  </si>
  <si>
    <t>DEH RECIRCULATION PUMP
TYPE - GEAR PUMP
CODE:06010008</t>
  </si>
  <si>
    <t>Salami Pumps</t>
  </si>
  <si>
    <t>100000052661</t>
  </si>
  <si>
    <t>100000052662</t>
  </si>
  <si>
    <t>100000052663</t>
  </si>
  <si>
    <t>100000052664</t>
  </si>
  <si>
    <t>SEAL KIT for HPSV ACTUATOR, K07A.331Z(B),HTC, 
HP STOP VALVE ACTUATOR SEAL KIT, 
DRAWING NO. K07A.331Z(B), 
MAKE - HARBIN TURBINE COMPANY LTD.</t>
  </si>
  <si>
    <t>SEAL KIT_IPSV ACTUATOR
, K07A.332Z(B),HTC, 
IP STOP VALVE ACTUATOR SEAL KIT, 
DRAWING NO. K07A.332Z(B)
MAKE – HARBIN TURBINE COMPANY LTD.</t>
  </si>
  <si>
    <t>SEAL KIT_HPCV ACTUATOR
139.357Z(B)-21,
HP CONTROL VALVE ACTUATOR SEAL KIT, DRAWING NO. - 139.357Z(B)-21
MAKE -HARBIN TURBINE COMPANY LTD.</t>
  </si>
  <si>
    <t>SEAL KIT_IPCV ACTUATOR
139.358Z(B)-21, 
IV ACTUATOR SEAL KIT, 
DRAWING NO. - 139.358Z(B)-21, 
MAKE – HARBIN TURBINE COMPANY LTD.</t>
  </si>
  <si>
    <t>100000053372</t>
  </si>
  <si>
    <t>100000049625</t>
  </si>
  <si>
    <t>Tacho Wheel For coal feeder controller Type: YE58-A</t>
  </si>
  <si>
    <t>ELECTRODE FOR HYDRASTEP, M18 X 1.5, ELECTRODE FOR HYDRASTEP, PROCESS CONNECTION :M18 X 1.5, MODEL : DSY - 02, Make: Suzhou industrial parktianchi"</t>
  </si>
  <si>
    <t>Coal Feeder Load Cell, Make : Vishay,  
Type: Celtron, Model:  LPS-100Kg</t>
  </si>
  <si>
    <t>Repair/Seal Kit
SEALKITPVH74
02-102262</t>
  </si>
  <si>
    <t>ROTARY GROUP KIT
ROTATINGGROUPPVH7410
Part No 877421</t>
  </si>
  <si>
    <t>Dailan</t>
  </si>
  <si>
    <t>Service Cost</t>
  </si>
  <si>
    <t>Pump Type</t>
  </si>
  <si>
    <t>Pump Model: PVH074QICRF1S11C25,
Type of pump: Axial piston pump.
Make: Chinese make (Vickers design)</t>
  </si>
  <si>
    <t>Pump Model: A3H37-FR01KK-10
Type of pump: Axial piston pump.
Make: Yuken Kogyo Co.Ltd, Japan</t>
  </si>
  <si>
    <t>Repair/Seal Kit &amp; internals</t>
  </si>
  <si>
    <t xml:space="preserve">EDPF-SD1- 01IO05122B01 Speed Module </t>
  </si>
  <si>
    <t xml:space="preserve">EDPF-AI16- 01IO05021A01 Analog Input Module </t>
  </si>
  <si>
    <t>100000054400</t>
  </si>
  <si>
    <t>100000054399</t>
  </si>
  <si>
    <t>TURBINE EMERGENCY TRIP DIAPHRAGM VALVE,
CONTROL VALVE,
SERIAL NO.-0019301985,
PORT SIZE 3/4 INCH,
RATING-CL600 PSI CWP,
PLUG-SST/HF, BODY- STL, TYPE- D,
PORT SIZE- 3 7/16, STEM- SST,
SEAT- CO ALY END CONNECTION-BW, 
MAKE-FISHER, EMERSON PROCESS MANAGEMENT LOCATION 382</t>
  </si>
  <si>
    <t>TURBINE AST&amp; OPC HYDRAULIC BLOCK 
TURBINE DEH HYDRAULIC TEST BLOCK OF OPC &amp; AST
DRAWING NO 157.776Z(B)-1
Without solenoid valves  but with necessary connectors
Note:Excluding pressure gauges, pressure switches and solenoid valves.</t>
  </si>
  <si>
    <t>100000052665</t>
  </si>
  <si>
    <t>100000052666</t>
  </si>
  <si>
    <t>100000052667</t>
  </si>
  <si>
    <t>100000052668</t>
  </si>
  <si>
    <t>MSV ACTUATOR ASSEMBLY,
DRAWING NO. - K07A.331Z(B), 
MAKE - HARBIN TURBINE COMPANY LTD.</t>
  </si>
  <si>
    <t>RSV ACTUATOR ASSEMBLY
DRAWING NO. - K07A.332Z(B)
MAKE - HARBIN TURBINE COMPANY LTD.</t>
  </si>
  <si>
    <t>GV ACTUATOR ASSEMBLY, 
DRAWING NO. - 139.357Z(B)-21, 
MAKE – HARBIN TURBINE COMPANY LTD.</t>
  </si>
  <si>
    <t>ICV ACTUATOR ASSEMBLY
DRAWING NO. - 139.358Z(B)-21
MAKE – HARBIN TURBINE COMPANY LTD.</t>
  </si>
  <si>
    <t>100000051361</t>
  </si>
  <si>
    <t>100000055899</t>
  </si>
  <si>
    <t>Pneumatic Cylinder, Model : GPM40X500, Pneumatic Cylinder, Model : GPM40X500, Make: Bellofiam</t>
  </si>
  <si>
    <t>Pneumatic Cylinder,Model:GPM80X50, Pneumatic Cylinder, Model : GPM80X500, Make: Bellofiam</t>
  </si>
  <si>
    <t>100000051344</t>
  </si>
  <si>
    <t>100000051345</t>
  </si>
  <si>
    <t>100000049629</t>
  </si>
  <si>
    <t>100000049630</t>
  </si>
  <si>
    <t>PR No</t>
  </si>
  <si>
    <t>Short Description</t>
  </si>
  <si>
    <t>Considered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</si>
  <si>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Site Basis
Delivery Time: 12 weeks from date of receipt of confirm PO.
G/Warranty: 12 months from date of DISPATCH - only for manufacturing defects
Payment Terms: 100% along with taxes etc. against PI. 
Offer Validity: 31 days from date of offer.
Any statutory changes in rate of tax etc will be applicable as on date of dispatch.
Minimum Order Qty.: N/A
Standard packaging will be done for supply of above items.
100% fitment &amp; interchangeability of offered products. In case of any discrepancy, we will replace items promptly for free of cost. </t>
    </r>
  </si>
  <si>
    <t>GST Rate 18% applicable as extra</t>
  </si>
  <si>
    <t>Sov Coil</t>
  </si>
  <si>
    <t>Cartridge screw valve</t>
  </si>
  <si>
    <t>Ea.</t>
  </si>
  <si>
    <t>SOV Coil 
Make: Eaton, 230 V AC 
MCSCH230AG000010</t>
  </si>
  <si>
    <t>SOV COIL 
220 V DC
PAT: 6002253
DC- 19W
PARKER
GCP230 m</t>
  </si>
  <si>
    <t>Cartridge screw valve: GS021600V 1102
Make: Parker</t>
  </si>
  <si>
    <t>Nord Fluid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</si>
</sst>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₹&quot;\ * #,##0.00_ ;_ &quot;₹&quot;\ * \-#,##0.00_ ;_ &quot;₹&quot;\ * &quot;-&quot;??_ ;_ @_ "/>
    <numFmt numFmtId="43" formatCode="_ * #,##0.00_ ;_ * \-#,##0.00_ ;_ * &quot;-&quot;??_ ;_ @_ "/>
    <numFmt numFmtId="164" formatCode="_-[$$-409]* #,##0.00_ ;_-[$$-409]* \-#,##0.00\ ;_-[$$-409]* &quot;-&quot;??_ ;_-@_ "/>
    <numFmt numFmtId="165" formatCode="[$-409]d/mmm/yy;@"/>
    <numFmt numFmtId="166" formatCode="_ [$₹-4009]\ * #,##0.00_ ;_ [$₹-4009]\ * \-#,##0.00_ ;_ [$₹-4009]\ * &quot;-&quot;??_ ;_ @_ "/>
    <numFmt numFmtId="167" formatCode="_(* #,##0.00_);_(* \(#,##0.00\);_(* &quot;-&quot;??_);_(@_)"/>
    <numFmt numFmtId="168" formatCode="_ [$€-2]\ * #,##0.00_ ;_ [$€-2]\ * \-#,##0.00_ ;_ [$€-2]\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theme="1"/>
      <name val="Calibri Light"/>
      <family val="2"/>
    </font>
    <font>
      <sz val="9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Arial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165" fontId="1" fillId="0" borderId="0"/>
    <xf numFmtId="167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/>
    </xf>
    <xf numFmtId="43" fontId="6" fillId="0" borderId="1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43" fontId="6" fillId="0" borderId="2" xfId="1" applyFont="1" applyBorder="1" applyAlignment="1">
      <alignment vertical="center"/>
    </xf>
    <xf numFmtId="0" fontId="4" fillId="0" borderId="0" xfId="1" applyNumberFormat="1" applyFont="1"/>
    <xf numFmtId="0" fontId="6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43" fontId="4" fillId="0" borderId="0" xfId="1" applyFont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43" fontId="4" fillId="0" borderId="0" xfId="0" applyNumberFormat="1" applyFont="1"/>
    <xf numFmtId="164" fontId="8" fillId="0" borderId="1" xfId="2" applyNumberFormat="1" applyFont="1" applyFill="1" applyBorder="1" applyAlignment="1">
      <alignment horizontal="center" vertical="center"/>
    </xf>
    <xf numFmtId="164" fontId="4" fillId="0" borderId="0" xfId="0" applyNumberFormat="1" applyFont="1"/>
    <xf numFmtId="43" fontId="4" fillId="0" borderId="0" xfId="1" applyFont="1" applyAlignment="1">
      <alignment vertical="center"/>
    </xf>
    <xf numFmtId="0" fontId="6" fillId="0" borderId="1" xfId="0" applyFont="1" applyBorder="1" applyAlignment="1">
      <alignment horizontal="center" vertical="top" wrapText="1"/>
    </xf>
    <xf numFmtId="43" fontId="4" fillId="0" borderId="0" xfId="1" applyFont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43" fontId="6" fillId="0" borderId="1" xfId="1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43" fontId="6" fillId="0" borderId="1" xfId="1" applyFont="1" applyBorder="1" applyAlignment="1">
      <alignment vertical="top" wrapText="1"/>
    </xf>
    <xf numFmtId="0" fontId="10" fillId="0" borderId="0" xfId="3"/>
    <xf numFmtId="0" fontId="5" fillId="0" borderId="9" xfId="0" applyFont="1" applyBorder="1" applyAlignment="1">
      <alignment horizontal="left" vertical="center" wrapText="1"/>
    </xf>
    <xf numFmtId="43" fontId="8" fillId="0" borderId="1" xfId="1" applyFont="1" applyFill="1" applyBorder="1" applyAlignment="1">
      <alignment horizontal="center" vertical="center"/>
    </xf>
    <xf numFmtId="43" fontId="11" fillId="2" borderId="0" xfId="1" applyFont="1" applyFill="1"/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43" fontId="8" fillId="0" borderId="1" xfId="1" applyFont="1" applyFill="1" applyBorder="1" applyAlignment="1">
      <alignment horizontal="right" vertical="center"/>
    </xf>
    <xf numFmtId="43" fontId="4" fillId="0" borderId="0" xfId="0" applyNumberFormat="1" applyFont="1" applyAlignment="1">
      <alignment vertical="center" wrapText="1"/>
    </xf>
    <xf numFmtId="43" fontId="10" fillId="0" borderId="0" xfId="3" applyNumberFormat="1"/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43" fontId="11" fillId="0" borderId="1" xfId="1" applyFont="1" applyBorder="1" applyAlignment="1">
      <alignment horizontal="center" vertical="center" wrapText="1"/>
    </xf>
    <xf numFmtId="43" fontId="11" fillId="0" borderId="1" xfId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right" vertical="center" wrapText="1"/>
    </xf>
    <xf numFmtId="43" fontId="1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3" fontId="0" fillId="0" borderId="0" xfId="0" applyNumberFormat="1"/>
    <xf numFmtId="0" fontId="6" fillId="0" borderId="11" xfId="0" applyFont="1" applyBorder="1" applyAlignment="1">
      <alignment horizontal="center" vertical="top" wrapText="1"/>
    </xf>
    <xf numFmtId="0" fontId="12" fillId="0" borderId="1" xfId="0" quotePrefix="1" applyFont="1" applyBorder="1" applyAlignment="1">
      <alignment vertical="center" wrapText="1"/>
    </xf>
    <xf numFmtId="0" fontId="5" fillId="0" borderId="9" xfId="0" quotePrefix="1" applyFont="1" applyBorder="1" applyAlignment="1">
      <alignment horizontal="left" vertical="center" wrapText="1"/>
    </xf>
    <xf numFmtId="0" fontId="13" fillId="0" borderId="0" xfId="3" applyFont="1"/>
    <xf numFmtId="0" fontId="4" fillId="0" borderId="1" xfId="0" quotePrefix="1" applyFont="1" applyBorder="1" applyAlignment="1">
      <alignment horizontal="center" vertical="center" wrapText="1"/>
    </xf>
    <xf numFmtId="0" fontId="2" fillId="0" borderId="1" xfId="4" applyNumberFormat="1" applyFont="1" applyBorder="1" applyAlignment="1">
      <alignment horizontal="center" vertical="center"/>
    </xf>
    <xf numFmtId="0" fontId="3" fillId="0" borderId="1" xfId="4" applyNumberFormat="1" applyFont="1" applyBorder="1" applyAlignment="1">
      <alignment horizontal="center" vertical="center" wrapText="1"/>
    </xf>
    <xf numFmtId="0" fontId="2" fillId="0" borderId="0" xfId="4" applyNumberFormat="1" applyFont="1" applyAlignment="1">
      <alignment horizontal="center" vertical="center"/>
    </xf>
    <xf numFmtId="0" fontId="4" fillId="0" borderId="0" xfId="4" applyNumberFormat="1" applyFont="1"/>
    <xf numFmtId="0" fontId="5" fillId="0" borderId="1" xfId="4" applyNumberFormat="1" applyFont="1" applyBorder="1" applyAlignment="1">
      <alignment horizontal="center" vertical="center"/>
    </xf>
    <xf numFmtId="0" fontId="6" fillId="0" borderId="1" xfId="4" applyNumberFormat="1" applyFont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left" vertical="center" wrapText="1"/>
    </xf>
    <xf numFmtId="166" fontId="5" fillId="0" borderId="1" xfId="4" applyNumberFormat="1" applyFont="1" applyBorder="1" applyAlignment="1">
      <alignment horizontal="center" vertical="center"/>
    </xf>
    <xf numFmtId="164" fontId="5" fillId="0" borderId="0" xfId="4" applyNumberFormat="1" applyFont="1" applyAlignment="1">
      <alignment horizontal="center" vertical="center"/>
    </xf>
    <xf numFmtId="164" fontId="4" fillId="0" borderId="0" xfId="4" applyNumberFormat="1" applyFont="1" applyAlignment="1">
      <alignment horizontal="center" vertical="center"/>
    </xf>
    <xf numFmtId="166" fontId="4" fillId="0" borderId="0" xfId="4" applyNumberFormat="1" applyFont="1" applyAlignment="1">
      <alignment horizontal="center" vertical="center"/>
    </xf>
    <xf numFmtId="0" fontId="4" fillId="0" borderId="0" xfId="4" applyNumberFormat="1" applyFont="1" applyAlignment="1">
      <alignment horizontal="center" vertical="center"/>
    </xf>
    <xf numFmtId="167" fontId="6" fillId="0" borderId="0" xfId="5" applyFont="1" applyBorder="1" applyAlignment="1">
      <alignment vertical="center"/>
    </xf>
    <xf numFmtId="167" fontId="4" fillId="0" borderId="0" xfId="5" applyFont="1"/>
    <xf numFmtId="0" fontId="7" fillId="0" borderId="0" xfId="4" applyNumberFormat="1" applyFont="1" applyAlignment="1">
      <alignment horizontal="left" vertical="center"/>
    </xf>
    <xf numFmtId="0" fontId="6" fillId="0" borderId="6" xfId="4" applyNumberFormat="1" applyFont="1" applyBorder="1" applyAlignment="1">
      <alignment horizontal="center" vertical="top" wrapText="1"/>
    </xf>
    <xf numFmtId="0" fontId="6" fillId="0" borderId="0" xfId="4" applyNumberFormat="1" applyFont="1" applyAlignment="1">
      <alignment horizontal="left" vertical="top" wrapText="1"/>
    </xf>
    <xf numFmtId="1" fontId="6" fillId="0" borderId="1" xfId="4" applyNumberFormat="1" applyFont="1" applyBorder="1" applyAlignment="1">
      <alignment horizontal="center" vertical="center" wrapText="1"/>
    </xf>
    <xf numFmtId="166" fontId="6" fillId="0" borderId="1" xfId="5" applyNumberFormat="1" applyFont="1" applyBorder="1" applyAlignment="1">
      <alignment vertical="center"/>
    </xf>
    <xf numFmtId="168" fontId="4" fillId="0" borderId="0" xfId="4" applyNumberFormat="1" applyFont="1" applyAlignment="1">
      <alignment horizontal="center" vertical="center"/>
    </xf>
    <xf numFmtId="168" fontId="4" fillId="0" borderId="0" xfId="4" applyNumberFormat="1" applyFont="1" applyAlignment="1">
      <alignment vertical="center"/>
    </xf>
    <xf numFmtId="0" fontId="7" fillId="0" borderId="1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3" fontId="6" fillId="0" borderId="6" xfId="1" applyFont="1" applyBorder="1" applyAlignment="1">
      <alignment horizontal="center" vertical="center"/>
    </xf>
    <xf numFmtId="43" fontId="6" fillId="0" borderId="7" xfId="1" applyFont="1" applyBorder="1" applyAlignment="1">
      <alignment horizontal="center" vertical="center"/>
    </xf>
    <xf numFmtId="43" fontId="6" fillId="0" borderId="8" xfId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quotePrefix="1" applyFont="1" applyBorder="1" applyAlignment="1">
      <alignment horizontal="center" vertical="center" wrapText="1"/>
    </xf>
    <xf numFmtId="0" fontId="4" fillId="0" borderId="10" xfId="0" quotePrefix="1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/>
    </xf>
    <xf numFmtId="0" fontId="7" fillId="0" borderId="3" xfId="4" applyNumberFormat="1" applyFont="1" applyBorder="1" applyAlignment="1">
      <alignment horizontal="left" vertical="center" wrapText="1"/>
    </xf>
    <xf numFmtId="0" fontId="7" fillId="0" borderId="4" xfId="4" applyNumberFormat="1" applyFont="1" applyBorder="1" applyAlignment="1">
      <alignment horizontal="left" vertical="center"/>
    </xf>
    <xf numFmtId="0" fontId="7" fillId="0" borderId="5" xfId="4" applyNumberFormat="1" applyFont="1" applyBorder="1" applyAlignment="1">
      <alignment horizontal="left" vertical="center"/>
    </xf>
    <xf numFmtId="0" fontId="6" fillId="0" borderId="7" xfId="4" applyNumberFormat="1" applyFont="1" applyBorder="1" applyAlignment="1">
      <alignment horizontal="left" vertical="top" wrapText="1"/>
    </xf>
    <xf numFmtId="0" fontId="6" fillId="0" borderId="8" xfId="4" applyNumberFormat="1" applyFont="1" applyBorder="1" applyAlignment="1">
      <alignment horizontal="left" vertical="top" wrapText="1"/>
    </xf>
  </cellXfs>
  <cellStyles count="6">
    <cellStyle name="Comma" xfId="1" builtinId="3"/>
    <cellStyle name="Comma 2" xfId="5" xr:uid="{00000000-0005-0000-0000-000001000000}"/>
    <cellStyle name="Currency" xfId="2" builtinId="4"/>
    <cellStyle name="Hyperlink" xfId="3" builtinId="8"/>
    <cellStyle name="Normal" xfId="0" builtinId="0"/>
    <cellStyle name="Normal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hyperlink" Target="mailto:sales4@valconmatic.com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gmpipetubecorp@gmail.com" TargetMode="Externa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workbookViewId="0">
      <selection activeCell="E11" sqref="E11"/>
    </sheetView>
  </sheetViews>
  <sheetFormatPr defaultColWidth="9.109375" defaultRowHeight="13.8" x14ac:dyDescent="0.3"/>
  <cols>
    <col min="1" max="1" width="5.88671875" style="3" bestFit="1" customWidth="1"/>
    <col min="2" max="2" width="11.88671875" style="3" customWidth="1"/>
    <col min="3" max="3" width="20" style="3" bestFit="1" customWidth="1"/>
    <col min="4" max="4" width="20.44140625" style="3" customWidth="1"/>
    <col min="5" max="5" width="28.88671875" style="3" bestFit="1" customWidth="1"/>
    <col min="6" max="6" width="5" style="3" bestFit="1" customWidth="1"/>
    <col min="7" max="7" width="10.5546875" style="3" bestFit="1" customWidth="1"/>
    <col min="8" max="8" width="13.33203125" style="3" bestFit="1" customWidth="1"/>
    <col min="9" max="9" width="16.5546875" style="3" bestFit="1" customWidth="1"/>
    <col min="10" max="10" width="9.109375" style="3"/>
    <col min="11" max="11" width="14" style="12" bestFit="1" customWidth="1"/>
    <col min="12" max="12" width="19.5546875" style="3" customWidth="1"/>
    <col min="13" max="13" width="11.33203125" style="3" bestFit="1" customWidth="1"/>
    <col min="14" max="14" width="10.44140625" style="3" bestFit="1" customWidth="1"/>
    <col min="15" max="16384" width="9.109375" style="3"/>
  </cols>
  <sheetData>
    <row r="1" spans="1:15" ht="27.6" x14ac:dyDescent="0.3">
      <c r="A1" s="1" t="s">
        <v>0</v>
      </c>
      <c r="B1" s="2" t="s">
        <v>19</v>
      </c>
      <c r="C1" s="2" t="s">
        <v>26</v>
      </c>
      <c r="D1" s="2" t="s">
        <v>11</v>
      </c>
      <c r="E1" s="2" t="s">
        <v>1</v>
      </c>
      <c r="F1" s="2" t="s">
        <v>2</v>
      </c>
      <c r="G1" s="2" t="s">
        <v>45</v>
      </c>
      <c r="H1" s="1" t="s">
        <v>3</v>
      </c>
      <c r="I1" s="1" t="s">
        <v>4</v>
      </c>
      <c r="J1" s="3" t="s">
        <v>5</v>
      </c>
      <c r="K1" s="3" t="s">
        <v>47</v>
      </c>
      <c r="L1" s="3" t="s">
        <v>28</v>
      </c>
      <c r="M1" s="3" t="s">
        <v>45</v>
      </c>
    </row>
    <row r="2" spans="1:15" ht="41.4" x14ac:dyDescent="0.3">
      <c r="A2" s="4">
        <v>1</v>
      </c>
      <c r="B2" s="4" t="s">
        <v>12</v>
      </c>
      <c r="C2" s="14" t="s">
        <v>13</v>
      </c>
      <c r="D2" s="4" t="s">
        <v>37</v>
      </c>
      <c r="E2" s="5" t="s">
        <v>44</v>
      </c>
      <c r="F2" s="6" t="s">
        <v>6</v>
      </c>
      <c r="G2" s="4">
        <v>12</v>
      </c>
      <c r="H2" s="7">
        <f>J2*88*1.32</f>
        <v>31363.200000000001</v>
      </c>
      <c r="I2" s="8">
        <f t="shared" ref="I2:I11" si="0">H2*G2</f>
        <v>376358.40000000002</v>
      </c>
      <c r="J2" s="9">
        <v>270</v>
      </c>
      <c r="K2" s="10">
        <v>240</v>
      </c>
      <c r="L2" s="10">
        <v>20</v>
      </c>
      <c r="M2" s="3">
        <v>12</v>
      </c>
      <c r="N2" s="3">
        <f>M2-G2</f>
        <v>0</v>
      </c>
    </row>
    <row r="3" spans="1:15" x14ac:dyDescent="0.3">
      <c r="A3" s="4">
        <v>2</v>
      </c>
      <c r="B3" s="4" t="s">
        <v>41</v>
      </c>
      <c r="C3" s="14" t="s">
        <v>14</v>
      </c>
      <c r="D3" s="4" t="s">
        <v>43</v>
      </c>
      <c r="E3" s="5" t="s">
        <v>44</v>
      </c>
      <c r="F3" s="6" t="s">
        <v>6</v>
      </c>
      <c r="G3" s="4">
        <v>5</v>
      </c>
      <c r="H3" s="7">
        <f t="shared" ref="H3:H11" si="1">J3*88*1.32</f>
        <v>31363.200000000001</v>
      </c>
      <c r="I3" s="8">
        <f t="shared" si="0"/>
        <v>156816</v>
      </c>
      <c r="J3" s="9">
        <v>270</v>
      </c>
      <c r="K3" s="10">
        <v>240</v>
      </c>
      <c r="L3" s="10">
        <v>5.6</v>
      </c>
      <c r="M3" s="3">
        <v>5</v>
      </c>
      <c r="N3" s="3">
        <f t="shared" ref="N3:N11" si="2">M3-G3</f>
        <v>0</v>
      </c>
    </row>
    <row r="4" spans="1:15" x14ac:dyDescent="0.3">
      <c r="A4" s="4">
        <v>3.1</v>
      </c>
      <c r="B4" s="90" t="s">
        <v>42</v>
      </c>
      <c r="C4" s="87" t="s">
        <v>15</v>
      </c>
      <c r="D4" s="4" t="s">
        <v>37</v>
      </c>
      <c r="E4" s="5" t="s">
        <v>36</v>
      </c>
      <c r="F4" s="6" t="s">
        <v>6</v>
      </c>
      <c r="G4" s="4">
        <v>8</v>
      </c>
      <c r="H4" s="7">
        <f t="shared" si="1"/>
        <v>31363.200000000001</v>
      </c>
      <c r="I4" s="8">
        <f t="shared" si="0"/>
        <v>250905.60000000001</v>
      </c>
      <c r="J4" s="9">
        <v>270</v>
      </c>
      <c r="K4" s="10">
        <v>240</v>
      </c>
      <c r="L4" s="10">
        <v>20</v>
      </c>
      <c r="M4" s="3">
        <v>8</v>
      </c>
      <c r="N4" s="3">
        <f t="shared" si="2"/>
        <v>0</v>
      </c>
    </row>
    <row r="5" spans="1:15" x14ac:dyDescent="0.3">
      <c r="A5" s="4">
        <v>3.2</v>
      </c>
      <c r="B5" s="91"/>
      <c r="C5" s="88"/>
      <c r="D5" s="4" t="s">
        <v>38</v>
      </c>
      <c r="E5" s="5" t="s">
        <v>36</v>
      </c>
      <c r="F5" s="6" t="s">
        <v>6</v>
      </c>
      <c r="G5" s="4">
        <v>9</v>
      </c>
      <c r="H5" s="7">
        <f t="shared" si="1"/>
        <v>31363.200000000001</v>
      </c>
      <c r="I5" s="8">
        <f t="shared" si="0"/>
        <v>282268.79999999999</v>
      </c>
      <c r="J5" s="9">
        <v>270</v>
      </c>
      <c r="K5" s="10">
        <v>240</v>
      </c>
      <c r="L5" s="10">
        <v>7.2</v>
      </c>
      <c r="M5" s="3">
        <v>9</v>
      </c>
      <c r="N5" s="3">
        <f t="shared" si="2"/>
        <v>0</v>
      </c>
    </row>
    <row r="6" spans="1:15" x14ac:dyDescent="0.3">
      <c r="A6" s="4">
        <v>3.3</v>
      </c>
      <c r="B6" s="92"/>
      <c r="C6" s="89"/>
      <c r="D6" s="4" t="s">
        <v>39</v>
      </c>
      <c r="E6" s="5" t="s">
        <v>40</v>
      </c>
      <c r="F6" s="6" t="s">
        <v>6</v>
      </c>
      <c r="G6" s="4">
        <v>1</v>
      </c>
      <c r="H6" s="7">
        <f t="shared" si="1"/>
        <v>31363.200000000001</v>
      </c>
      <c r="I6" s="8">
        <f t="shared" si="0"/>
        <v>31363.200000000001</v>
      </c>
      <c r="J6" s="9">
        <v>270</v>
      </c>
      <c r="K6" s="10">
        <v>240</v>
      </c>
      <c r="L6" s="10">
        <v>12</v>
      </c>
      <c r="M6" s="3">
        <v>1</v>
      </c>
      <c r="N6" s="3">
        <f t="shared" si="2"/>
        <v>0</v>
      </c>
    </row>
    <row r="7" spans="1:15" x14ac:dyDescent="0.3">
      <c r="A7" s="4">
        <v>4.0999999999999996</v>
      </c>
      <c r="B7" s="90" t="s">
        <v>29</v>
      </c>
      <c r="C7" s="87" t="s">
        <v>18</v>
      </c>
      <c r="D7" s="4" t="s">
        <v>30</v>
      </c>
      <c r="E7" s="5" t="s">
        <v>33</v>
      </c>
      <c r="F7" s="6" t="s">
        <v>6</v>
      </c>
      <c r="G7" s="4">
        <v>2</v>
      </c>
      <c r="H7" s="7">
        <f t="shared" si="1"/>
        <v>31363.200000000001</v>
      </c>
      <c r="I7" s="8">
        <f t="shared" si="0"/>
        <v>62726.400000000001</v>
      </c>
      <c r="J7" s="9">
        <v>270</v>
      </c>
      <c r="K7" s="10">
        <v>240</v>
      </c>
      <c r="L7" s="10">
        <v>5</v>
      </c>
      <c r="M7" s="3">
        <v>2</v>
      </c>
      <c r="N7" s="3">
        <f t="shared" si="2"/>
        <v>0</v>
      </c>
    </row>
    <row r="8" spans="1:15" x14ac:dyDescent="0.3">
      <c r="A8" s="4">
        <v>4.2</v>
      </c>
      <c r="B8" s="91"/>
      <c r="C8" s="88"/>
      <c r="D8" s="4" t="s">
        <v>31</v>
      </c>
      <c r="E8" s="5" t="s">
        <v>34</v>
      </c>
      <c r="F8" s="6" t="s">
        <v>6</v>
      </c>
      <c r="G8" s="4">
        <v>1</v>
      </c>
      <c r="H8" s="7">
        <f t="shared" si="1"/>
        <v>31363.200000000001</v>
      </c>
      <c r="I8" s="8">
        <f t="shared" si="0"/>
        <v>31363.200000000001</v>
      </c>
      <c r="J8" s="9">
        <v>270</v>
      </c>
      <c r="K8" s="10">
        <v>240</v>
      </c>
      <c r="L8" s="10">
        <v>5</v>
      </c>
      <c r="M8" s="3">
        <v>1</v>
      </c>
      <c r="N8" s="3">
        <f t="shared" si="2"/>
        <v>0</v>
      </c>
    </row>
    <row r="9" spans="1:15" x14ac:dyDescent="0.3">
      <c r="A9" s="4">
        <v>4.3</v>
      </c>
      <c r="B9" s="92"/>
      <c r="C9" s="89"/>
      <c r="D9" s="4" t="s">
        <v>32</v>
      </c>
      <c r="E9" s="5" t="s">
        <v>35</v>
      </c>
      <c r="F9" s="6" t="s">
        <v>6</v>
      </c>
      <c r="G9" s="4">
        <v>7</v>
      </c>
      <c r="H9" s="7">
        <f t="shared" si="1"/>
        <v>31363.200000000001</v>
      </c>
      <c r="I9" s="8">
        <f t="shared" si="0"/>
        <v>219542.39999999999</v>
      </c>
      <c r="J9" s="9">
        <v>270</v>
      </c>
      <c r="K9" s="10">
        <v>240</v>
      </c>
      <c r="L9" s="10">
        <v>8.4</v>
      </c>
      <c r="M9" s="3">
        <v>7</v>
      </c>
      <c r="N9" s="3">
        <f t="shared" si="2"/>
        <v>0</v>
      </c>
    </row>
    <row r="10" spans="1:15" x14ac:dyDescent="0.3">
      <c r="A10" s="4">
        <v>5</v>
      </c>
      <c r="B10" s="4" t="s">
        <v>27</v>
      </c>
      <c r="C10" s="14" t="s">
        <v>17</v>
      </c>
      <c r="D10" s="4" t="s">
        <v>16</v>
      </c>
      <c r="E10" s="5" t="s">
        <v>36</v>
      </c>
      <c r="F10" s="6" t="s">
        <v>6</v>
      </c>
      <c r="G10" s="4">
        <v>4</v>
      </c>
      <c r="H10" s="7">
        <f t="shared" si="1"/>
        <v>31363.200000000001</v>
      </c>
      <c r="I10" s="8">
        <f t="shared" si="0"/>
        <v>125452.8</v>
      </c>
      <c r="J10" s="9">
        <v>270</v>
      </c>
      <c r="K10" s="10">
        <v>240</v>
      </c>
      <c r="L10" s="10">
        <v>8.4</v>
      </c>
      <c r="M10" s="3">
        <v>4</v>
      </c>
      <c r="N10" s="3">
        <f t="shared" si="2"/>
        <v>0</v>
      </c>
    </row>
    <row r="11" spans="1:15" x14ac:dyDescent="0.3">
      <c r="A11" s="4">
        <v>6.1</v>
      </c>
      <c r="B11" s="90" t="s">
        <v>20</v>
      </c>
      <c r="C11" s="90" t="s">
        <v>25</v>
      </c>
      <c r="D11" s="4" t="s">
        <v>21</v>
      </c>
      <c r="E11" s="5" t="s">
        <v>40</v>
      </c>
      <c r="F11" s="6" t="s">
        <v>6</v>
      </c>
      <c r="G11" s="4">
        <v>2</v>
      </c>
      <c r="H11" s="7">
        <f t="shared" si="1"/>
        <v>31363.200000000001</v>
      </c>
      <c r="I11" s="8">
        <f t="shared" si="0"/>
        <v>62726.400000000001</v>
      </c>
      <c r="J11" s="9">
        <v>270</v>
      </c>
      <c r="K11" s="10">
        <v>240</v>
      </c>
      <c r="L11" s="10">
        <v>6.6</v>
      </c>
      <c r="M11" s="3">
        <v>2</v>
      </c>
      <c r="N11" s="3">
        <f t="shared" si="2"/>
        <v>0</v>
      </c>
    </row>
    <row r="12" spans="1:15" x14ac:dyDescent="0.3">
      <c r="A12" s="4">
        <v>6.2</v>
      </c>
      <c r="B12" s="91"/>
      <c r="C12" s="91"/>
      <c r="D12" s="4" t="s">
        <v>22</v>
      </c>
      <c r="E12" s="5" t="s">
        <v>44</v>
      </c>
      <c r="F12" s="6" t="s">
        <v>6</v>
      </c>
      <c r="G12" s="4">
        <v>2</v>
      </c>
      <c r="H12" s="7">
        <f t="shared" ref="H12:H14" si="3">J12*88*1.32</f>
        <v>31363.200000000001</v>
      </c>
      <c r="I12" s="8">
        <f t="shared" ref="I12:I14" si="4">H12*G12</f>
        <v>62726.400000000001</v>
      </c>
      <c r="J12" s="9">
        <v>270</v>
      </c>
      <c r="K12" s="10">
        <v>240</v>
      </c>
      <c r="L12" s="10">
        <v>6.6</v>
      </c>
      <c r="M12" s="3">
        <v>2</v>
      </c>
      <c r="N12" s="3">
        <f t="shared" ref="N12:N14" si="5">M12-G12</f>
        <v>0</v>
      </c>
    </row>
    <row r="13" spans="1:15" x14ac:dyDescent="0.3">
      <c r="A13" s="4">
        <v>6.3</v>
      </c>
      <c r="B13" s="91"/>
      <c r="C13" s="91"/>
      <c r="D13" s="4" t="s">
        <v>23</v>
      </c>
      <c r="E13" s="5" t="s">
        <v>36</v>
      </c>
      <c r="F13" s="6" t="s">
        <v>6</v>
      </c>
      <c r="G13" s="4">
        <v>2</v>
      </c>
      <c r="H13" s="7">
        <f t="shared" si="3"/>
        <v>31363.200000000001</v>
      </c>
      <c r="I13" s="8">
        <f t="shared" si="4"/>
        <v>62726.400000000001</v>
      </c>
      <c r="J13" s="9">
        <v>270</v>
      </c>
      <c r="K13" s="10">
        <v>240</v>
      </c>
      <c r="L13" s="10">
        <v>7.2</v>
      </c>
      <c r="M13" s="3">
        <v>2</v>
      </c>
      <c r="N13" s="3">
        <f t="shared" si="5"/>
        <v>0</v>
      </c>
      <c r="O13" s="3">
        <f>32800*1.3*88*1.05</f>
        <v>3939936</v>
      </c>
    </row>
    <row r="14" spans="1:15" x14ac:dyDescent="0.3">
      <c r="A14" s="4">
        <v>6.4</v>
      </c>
      <c r="B14" s="91"/>
      <c r="C14" s="91"/>
      <c r="D14" s="4" t="s">
        <v>24</v>
      </c>
      <c r="E14" s="5" t="s">
        <v>35</v>
      </c>
      <c r="F14" s="6" t="s">
        <v>6</v>
      </c>
      <c r="G14" s="4">
        <v>2</v>
      </c>
      <c r="H14" s="7">
        <f t="shared" si="3"/>
        <v>31363.200000000001</v>
      </c>
      <c r="I14" s="8">
        <f t="shared" si="4"/>
        <v>62726.400000000001</v>
      </c>
      <c r="J14" s="9">
        <v>270</v>
      </c>
      <c r="K14" s="10">
        <v>240</v>
      </c>
      <c r="L14" s="10">
        <v>7.2</v>
      </c>
      <c r="M14" s="3">
        <v>2</v>
      </c>
      <c r="N14" s="3">
        <f t="shared" si="5"/>
        <v>0</v>
      </c>
    </row>
    <row r="15" spans="1:15" x14ac:dyDescent="0.3">
      <c r="A15" s="4">
        <v>8</v>
      </c>
      <c r="B15" s="92" t="s">
        <v>7</v>
      </c>
      <c r="C15" s="92"/>
      <c r="D15" s="92"/>
      <c r="E15" s="92"/>
      <c r="F15" s="92"/>
      <c r="G15" s="92"/>
      <c r="H15" s="92"/>
      <c r="I15" s="11">
        <f>SUM(I1:I14)</f>
        <v>1787702.3999999994</v>
      </c>
    </row>
    <row r="16" spans="1:15" x14ac:dyDescent="0.3">
      <c r="A16" s="4">
        <v>9</v>
      </c>
      <c r="B16" s="92" t="s">
        <v>46</v>
      </c>
      <c r="C16" s="92"/>
      <c r="D16" s="92"/>
      <c r="E16" s="92"/>
      <c r="F16" s="92"/>
      <c r="G16" s="92"/>
      <c r="H16" s="92"/>
      <c r="I16" s="11">
        <f>I15*18%</f>
        <v>321786.43199999991</v>
      </c>
      <c r="N16" s="15">
        <f>38*20000</f>
        <v>760000</v>
      </c>
    </row>
    <row r="17" spans="1:13" x14ac:dyDescent="0.3">
      <c r="A17" s="4">
        <v>10</v>
      </c>
      <c r="B17" s="92" t="s">
        <v>8</v>
      </c>
      <c r="C17" s="92"/>
      <c r="D17" s="92"/>
      <c r="E17" s="92"/>
      <c r="F17" s="92"/>
      <c r="G17" s="92"/>
      <c r="H17" s="92"/>
      <c r="I17" s="11">
        <f>I16+I15</f>
        <v>2109488.8319999995</v>
      </c>
      <c r="M17" s="15">
        <f>57*32000</f>
        <v>1824000</v>
      </c>
    </row>
    <row r="18" spans="1:13" x14ac:dyDescent="0.3">
      <c r="A18" s="93"/>
      <c r="B18" s="94"/>
      <c r="C18" s="94"/>
      <c r="D18" s="94"/>
      <c r="E18" s="94"/>
      <c r="F18" s="94"/>
      <c r="G18" s="94"/>
      <c r="H18" s="94"/>
      <c r="I18" s="95"/>
    </row>
    <row r="19" spans="1:13" ht="151.80000000000001" x14ac:dyDescent="0.3">
      <c r="A19" s="13" t="s">
        <v>9</v>
      </c>
      <c r="B19" s="85" t="s">
        <v>10</v>
      </c>
      <c r="C19" s="85"/>
      <c r="D19" s="85"/>
      <c r="E19" s="85"/>
      <c r="F19" s="85"/>
      <c r="G19" s="85"/>
      <c r="H19" s="85"/>
      <c r="I19" s="86"/>
    </row>
  </sheetData>
  <mergeCells count="11">
    <mergeCell ref="B19:I19"/>
    <mergeCell ref="C4:C6"/>
    <mergeCell ref="C7:C9"/>
    <mergeCell ref="C11:C14"/>
    <mergeCell ref="B11:B14"/>
    <mergeCell ref="B7:B9"/>
    <mergeCell ref="B4:B6"/>
    <mergeCell ref="B15:H15"/>
    <mergeCell ref="B16:H16"/>
    <mergeCell ref="B17:H17"/>
    <mergeCell ref="A18:I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"/>
  <sheetViews>
    <sheetView topLeftCell="B1" workbookViewId="0">
      <selection activeCell="D3" sqref="D3"/>
    </sheetView>
  </sheetViews>
  <sheetFormatPr defaultColWidth="9.109375" defaultRowHeight="13.8" x14ac:dyDescent="0.3"/>
  <cols>
    <col min="1" max="1" width="5.88671875" style="3" bestFit="1" customWidth="1"/>
    <col min="2" max="2" width="11.88671875" style="3" customWidth="1"/>
    <col min="3" max="3" width="20" style="3" bestFit="1" customWidth="1"/>
    <col min="4" max="4" width="20.44140625" style="3" customWidth="1"/>
    <col min="5" max="5" width="28.88671875" style="3" bestFit="1" customWidth="1"/>
    <col min="6" max="6" width="5" style="3" bestFit="1" customWidth="1"/>
    <col min="7" max="7" width="10.5546875" style="3" bestFit="1" customWidth="1"/>
    <col min="8" max="9" width="13.33203125" style="3" bestFit="1" customWidth="1"/>
    <col min="10" max="10" width="16.5546875" style="3" bestFit="1" customWidth="1"/>
    <col min="11" max="11" width="9.109375" style="3"/>
    <col min="12" max="12" width="14" style="12" bestFit="1" customWidth="1"/>
    <col min="13" max="13" width="19.5546875" style="3" customWidth="1"/>
    <col min="14" max="14" width="11.33203125" style="3" bestFit="1" customWidth="1"/>
    <col min="15" max="15" width="10.44140625" style="3" bestFit="1" customWidth="1"/>
    <col min="16" max="16384" width="9.109375" style="3"/>
  </cols>
  <sheetData>
    <row r="1" spans="1:15" ht="27.6" x14ac:dyDescent="0.3">
      <c r="A1" s="1" t="s">
        <v>0</v>
      </c>
      <c r="B1" s="2" t="s">
        <v>48</v>
      </c>
      <c r="C1" s="2" t="s">
        <v>49</v>
      </c>
      <c r="D1" s="2" t="s">
        <v>11</v>
      </c>
      <c r="E1" s="2" t="s">
        <v>1</v>
      </c>
      <c r="F1" s="2" t="s">
        <v>2</v>
      </c>
      <c r="G1" s="2" t="s">
        <v>55</v>
      </c>
      <c r="H1" s="1" t="s">
        <v>3</v>
      </c>
      <c r="I1" s="1" t="s">
        <v>56</v>
      </c>
      <c r="J1" s="1" t="s">
        <v>4</v>
      </c>
      <c r="K1" s="3" t="s">
        <v>5</v>
      </c>
      <c r="L1" s="3" t="s">
        <v>47</v>
      </c>
      <c r="M1" s="3" t="s">
        <v>28</v>
      </c>
      <c r="N1" s="3" t="s">
        <v>45</v>
      </c>
    </row>
    <row r="2" spans="1:15" ht="78.599999999999994" customHeight="1" x14ac:dyDescent="0.3">
      <c r="A2" s="4">
        <v>1.1000000000000001</v>
      </c>
      <c r="B2" s="4" t="s">
        <v>50</v>
      </c>
      <c r="C2" s="4" t="s">
        <v>50</v>
      </c>
      <c r="D2" s="4" t="s">
        <v>51</v>
      </c>
      <c r="E2" s="5" t="s">
        <v>52</v>
      </c>
      <c r="F2" s="6" t="s">
        <v>6</v>
      </c>
      <c r="G2" s="4">
        <v>20</v>
      </c>
      <c r="H2" s="7">
        <f>K2*88*1.32</f>
        <v>62726.400000000001</v>
      </c>
      <c r="I2" s="7">
        <f>H2*18%</f>
        <v>11290.752</v>
      </c>
      <c r="J2" s="8">
        <f>G2*(H2+I2)</f>
        <v>1480343.04</v>
      </c>
      <c r="K2" s="9">
        <v>540</v>
      </c>
      <c r="L2" s="10">
        <v>480</v>
      </c>
      <c r="M2" s="10">
        <v>20</v>
      </c>
      <c r="N2" s="3">
        <v>12</v>
      </c>
      <c r="O2" s="3">
        <f>N2-G2</f>
        <v>-8</v>
      </c>
    </row>
    <row r="3" spans="1:15" ht="143.4" customHeight="1" x14ac:dyDescent="0.3">
      <c r="A3" s="4">
        <v>1.2</v>
      </c>
      <c r="B3" s="4" t="s">
        <v>50</v>
      </c>
      <c r="C3" s="4" t="s">
        <v>50</v>
      </c>
      <c r="D3" s="4" t="s">
        <v>51</v>
      </c>
      <c r="E3" s="5" t="s">
        <v>57</v>
      </c>
      <c r="F3" s="6" t="s">
        <v>6</v>
      </c>
      <c r="G3" s="4">
        <v>20</v>
      </c>
      <c r="H3" s="7">
        <f>K3*88*1.32</f>
        <v>313632</v>
      </c>
      <c r="I3" s="7">
        <f>H3*18%</f>
        <v>56453.759999999995</v>
      </c>
      <c r="J3" s="8">
        <f>G3*(H3+I3)</f>
        <v>7401715.2000000002</v>
      </c>
      <c r="K3" s="9">
        <v>2700</v>
      </c>
      <c r="L3" s="10">
        <v>2400</v>
      </c>
      <c r="M3" s="10">
        <v>5.6</v>
      </c>
      <c r="N3" s="3">
        <v>5</v>
      </c>
      <c r="O3" s="3">
        <f>N3-G3</f>
        <v>-15</v>
      </c>
    </row>
    <row r="4" spans="1:15" x14ac:dyDescent="0.3">
      <c r="A4" s="93" t="s">
        <v>53</v>
      </c>
      <c r="B4" s="94"/>
      <c r="C4" s="94"/>
      <c r="D4" s="94"/>
      <c r="E4" s="94"/>
      <c r="F4" s="94"/>
      <c r="G4" s="94"/>
      <c r="H4" s="94"/>
      <c r="I4" s="94"/>
      <c r="J4" s="95"/>
    </row>
    <row r="5" spans="1:15" ht="157.5" customHeight="1" x14ac:dyDescent="0.3">
      <c r="A5" s="13" t="s">
        <v>9</v>
      </c>
      <c r="B5" s="85" t="s">
        <v>54</v>
      </c>
      <c r="C5" s="85"/>
      <c r="D5" s="85"/>
      <c r="E5" s="85"/>
      <c r="F5" s="85"/>
      <c r="G5" s="85"/>
      <c r="H5" s="85"/>
      <c r="I5" s="85"/>
      <c r="J5" s="86"/>
    </row>
  </sheetData>
  <mergeCells count="2">
    <mergeCell ref="A4:J4"/>
    <mergeCell ref="B5:J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"/>
  <sheetViews>
    <sheetView workbookViewId="0">
      <selection activeCell="N4" sqref="N4"/>
    </sheetView>
  </sheetViews>
  <sheetFormatPr defaultColWidth="9.109375" defaultRowHeight="13.8" x14ac:dyDescent="0.3"/>
  <cols>
    <col min="1" max="1" width="5.5546875" style="3" bestFit="1" customWidth="1"/>
    <col min="2" max="2" width="5.6640625" style="3" bestFit="1" customWidth="1"/>
    <col min="3" max="3" width="8.5546875" style="3" bestFit="1" customWidth="1"/>
    <col min="4" max="4" width="19.88671875" style="3" bestFit="1" customWidth="1"/>
    <col min="5" max="5" width="27.6640625" style="3" bestFit="1" customWidth="1"/>
    <col min="6" max="6" width="4.88671875" style="3" bestFit="1" customWidth="1"/>
    <col min="7" max="7" width="4" style="3" bestFit="1" customWidth="1"/>
    <col min="8" max="8" width="11.109375" style="3" bestFit="1" customWidth="1"/>
    <col min="9" max="9" width="10.44140625" style="3" bestFit="1" customWidth="1"/>
    <col min="10" max="10" width="11.33203125" style="3" bestFit="1" customWidth="1"/>
    <col min="11" max="11" width="4.44140625" style="3" bestFit="1" customWidth="1"/>
    <col min="12" max="12" width="5.5546875" style="12" bestFit="1" customWidth="1"/>
    <col min="13" max="13" width="10" style="3" bestFit="1" customWidth="1"/>
    <col min="14" max="14" width="10.44140625" style="3" bestFit="1" customWidth="1"/>
    <col min="15" max="15" width="2.33203125" style="3" bestFit="1" customWidth="1"/>
    <col min="16" max="16384" width="9.109375" style="3"/>
  </cols>
  <sheetData>
    <row r="1" spans="1:14" ht="27.6" x14ac:dyDescent="0.3">
      <c r="A1" s="1" t="s">
        <v>0</v>
      </c>
      <c r="B1" s="2" t="s">
        <v>48</v>
      </c>
      <c r="C1" s="2" t="s">
        <v>49</v>
      </c>
      <c r="D1" s="2" t="s">
        <v>11</v>
      </c>
      <c r="E1" s="2" t="s">
        <v>1</v>
      </c>
      <c r="F1" s="2" t="s">
        <v>2</v>
      </c>
      <c r="G1" s="2" t="s">
        <v>55</v>
      </c>
      <c r="H1" s="1" t="s">
        <v>3</v>
      </c>
      <c r="I1" s="1" t="s">
        <v>56</v>
      </c>
      <c r="J1" s="1" t="s">
        <v>4</v>
      </c>
      <c r="K1" s="3" t="s">
        <v>5</v>
      </c>
      <c r="L1" s="3" t="s">
        <v>60</v>
      </c>
      <c r="M1" s="3" t="s">
        <v>28</v>
      </c>
      <c r="N1" s="3" t="s">
        <v>45</v>
      </c>
    </row>
    <row r="2" spans="1:14" ht="78.599999999999994" customHeight="1" x14ac:dyDescent="0.3">
      <c r="A2" s="4">
        <v>1</v>
      </c>
      <c r="B2" s="4" t="s">
        <v>50</v>
      </c>
      <c r="C2" s="4" t="s">
        <v>50</v>
      </c>
      <c r="D2" s="4" t="s">
        <v>59</v>
      </c>
      <c r="E2" s="5" t="s">
        <v>58</v>
      </c>
      <c r="F2" s="6" t="s">
        <v>6</v>
      </c>
      <c r="G2" s="4">
        <v>2</v>
      </c>
      <c r="H2" s="7">
        <f>K2*82*1.29</f>
        <v>899130</v>
      </c>
      <c r="I2" s="7">
        <f>H2*18%</f>
        <v>161843.4</v>
      </c>
      <c r="J2" s="8">
        <f>G2*(H2+I2)</f>
        <v>2121946.7999999998</v>
      </c>
      <c r="K2" s="9">
        <v>8500</v>
      </c>
      <c r="L2" s="10">
        <v>8500</v>
      </c>
      <c r="M2" s="10"/>
    </row>
    <row r="3" spans="1:14" x14ac:dyDescent="0.3">
      <c r="A3" s="93"/>
      <c r="B3" s="94"/>
      <c r="C3" s="94"/>
      <c r="D3" s="94"/>
      <c r="E3" s="94"/>
      <c r="F3" s="94"/>
      <c r="G3" s="94"/>
      <c r="H3" s="94"/>
      <c r="I3" s="94"/>
      <c r="J3" s="95"/>
    </row>
    <row r="4" spans="1:14" ht="157.5" customHeight="1" x14ac:dyDescent="0.3">
      <c r="A4" s="13" t="s">
        <v>9</v>
      </c>
      <c r="B4" s="85" t="s">
        <v>61</v>
      </c>
      <c r="C4" s="85"/>
      <c r="D4" s="85"/>
      <c r="E4" s="85"/>
      <c r="F4" s="85"/>
      <c r="G4" s="85"/>
      <c r="H4" s="85"/>
      <c r="I4" s="85"/>
      <c r="J4" s="86"/>
    </row>
  </sheetData>
  <mergeCells count="2">
    <mergeCell ref="A3:J3"/>
    <mergeCell ref="B4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"/>
  <sheetViews>
    <sheetView workbookViewId="0">
      <selection sqref="A1:I6"/>
    </sheetView>
  </sheetViews>
  <sheetFormatPr defaultColWidth="9.109375" defaultRowHeight="13.8" x14ac:dyDescent="0.3"/>
  <cols>
    <col min="1" max="1" width="5.5546875" style="3" bestFit="1" customWidth="1"/>
    <col min="2" max="2" width="5.6640625" style="3" bestFit="1" customWidth="1"/>
    <col min="3" max="3" width="8.5546875" style="3" bestFit="1" customWidth="1"/>
    <col min="4" max="4" width="46.109375" style="3" customWidth="1"/>
    <col min="5" max="5" width="4.88671875" style="3" bestFit="1" customWidth="1"/>
    <col min="6" max="6" width="4" style="3" bestFit="1" customWidth="1"/>
    <col min="7" max="7" width="11.109375" style="3" bestFit="1" customWidth="1"/>
    <col min="8" max="8" width="10.44140625" style="3" bestFit="1" customWidth="1"/>
    <col min="9" max="9" width="11.33203125" style="3" bestFit="1" customWidth="1"/>
    <col min="10" max="10" width="4.44140625" style="3" bestFit="1" customWidth="1"/>
    <col min="11" max="11" width="5.5546875" style="12" bestFit="1" customWidth="1"/>
    <col min="12" max="12" width="10" style="3" bestFit="1" customWidth="1"/>
    <col min="13" max="13" width="10.44140625" style="3" bestFit="1" customWidth="1"/>
    <col min="14" max="14" width="2.33203125" style="3" bestFit="1" customWidth="1"/>
    <col min="15" max="16384" width="9.109375" style="3"/>
  </cols>
  <sheetData>
    <row r="1" spans="1:13" ht="27.6" x14ac:dyDescent="0.3">
      <c r="A1" s="1" t="s">
        <v>0</v>
      </c>
      <c r="B1" s="2" t="s">
        <v>48</v>
      </c>
      <c r="C1" s="2" t="s">
        <v>49</v>
      </c>
      <c r="D1" s="2" t="s">
        <v>1</v>
      </c>
      <c r="E1" s="2" t="s">
        <v>2</v>
      </c>
      <c r="F1" s="2" t="s">
        <v>55</v>
      </c>
      <c r="G1" s="1" t="s">
        <v>3</v>
      </c>
      <c r="H1" s="1" t="s">
        <v>56</v>
      </c>
      <c r="I1" s="1" t="s">
        <v>4</v>
      </c>
      <c r="K1" s="3"/>
      <c r="M1" s="3" t="s">
        <v>45</v>
      </c>
    </row>
    <row r="2" spans="1:13" x14ac:dyDescent="0.3">
      <c r="A2" s="4">
        <v>1</v>
      </c>
      <c r="B2" s="4" t="s">
        <v>50</v>
      </c>
      <c r="C2" s="4" t="s">
        <v>50</v>
      </c>
      <c r="D2" s="16" t="s">
        <v>70</v>
      </c>
      <c r="E2" s="6" t="s">
        <v>62</v>
      </c>
      <c r="F2" s="4">
        <v>1</v>
      </c>
      <c r="G2" s="7">
        <v>2322000</v>
      </c>
      <c r="H2" s="7">
        <f>G2*18%</f>
        <v>417960</v>
      </c>
      <c r="I2" s="8">
        <f>F2*(G2+H2)</f>
        <v>2739960</v>
      </c>
      <c r="J2" s="9"/>
      <c r="K2" s="10"/>
      <c r="L2" s="10">
        <f>45*270*113</f>
        <v>1372950</v>
      </c>
    </row>
    <row r="3" spans="1:13" x14ac:dyDescent="0.3">
      <c r="A3" s="4">
        <v>2</v>
      </c>
      <c r="B3" s="4" t="s">
        <v>50</v>
      </c>
      <c r="C3" s="4" t="s">
        <v>50</v>
      </c>
      <c r="D3" s="16" t="s">
        <v>71</v>
      </c>
      <c r="E3" s="6" t="s">
        <v>62</v>
      </c>
      <c r="F3" s="4">
        <v>1</v>
      </c>
      <c r="G3" s="7">
        <v>4478000</v>
      </c>
      <c r="H3" s="7">
        <f>G3*18%</f>
        <v>806040</v>
      </c>
      <c r="I3" s="8">
        <f>F3*(G3+H3)</f>
        <v>5284040</v>
      </c>
      <c r="J3" s="9"/>
      <c r="K3" s="10"/>
      <c r="L3" s="10"/>
    </row>
    <row r="4" spans="1:13" ht="14.4" customHeight="1" x14ac:dyDescent="0.3">
      <c r="A4" s="4">
        <v>3</v>
      </c>
      <c r="B4" s="96" t="s">
        <v>63</v>
      </c>
      <c r="C4" s="97"/>
      <c r="D4" s="98"/>
      <c r="E4" s="102" t="s">
        <v>65</v>
      </c>
      <c r="F4" s="103"/>
      <c r="G4" s="99">
        <f>SUM(I2:I3)</f>
        <v>8024000</v>
      </c>
      <c r="H4" s="100"/>
      <c r="I4" s="101"/>
      <c r="J4" s="9"/>
      <c r="K4" s="10"/>
      <c r="L4" s="10"/>
    </row>
    <row r="5" spans="1:13" x14ac:dyDescent="0.3">
      <c r="A5" s="93"/>
      <c r="B5" s="94"/>
      <c r="C5" s="94"/>
      <c r="D5" s="94"/>
      <c r="E5" s="94"/>
      <c r="F5" s="94"/>
      <c r="G5" s="94"/>
      <c r="H5" s="94"/>
      <c r="I5" s="95"/>
    </row>
    <row r="6" spans="1:13" ht="151.80000000000001" x14ac:dyDescent="0.3">
      <c r="A6" s="13" t="s">
        <v>9</v>
      </c>
      <c r="B6" s="85" t="s">
        <v>64</v>
      </c>
      <c r="C6" s="85"/>
      <c r="D6" s="85"/>
      <c r="E6" s="85"/>
      <c r="F6" s="85"/>
      <c r="G6" s="85"/>
      <c r="H6" s="85"/>
      <c r="I6" s="86"/>
    </row>
  </sheetData>
  <mergeCells count="5">
    <mergeCell ref="A5:I5"/>
    <mergeCell ref="B6:I6"/>
    <mergeCell ref="B4:D4"/>
    <mergeCell ref="G4:I4"/>
    <mergeCell ref="E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"/>
  <sheetViews>
    <sheetView topLeftCell="A2" workbookViewId="0">
      <selection activeCell="J3" sqref="J3"/>
    </sheetView>
  </sheetViews>
  <sheetFormatPr defaultColWidth="9.109375" defaultRowHeight="13.8" x14ac:dyDescent="0.3"/>
  <cols>
    <col min="1" max="1" width="5.5546875" style="3" bestFit="1" customWidth="1"/>
    <col min="2" max="2" width="5.6640625" style="3" bestFit="1" customWidth="1"/>
    <col min="3" max="3" width="8.5546875" style="3" bestFit="1" customWidth="1"/>
    <col min="4" max="4" width="41.88671875" style="3" customWidth="1"/>
    <col min="5" max="5" width="4.88671875" style="3" bestFit="1" customWidth="1"/>
    <col min="6" max="6" width="4" style="3" bestFit="1" customWidth="1"/>
    <col min="7" max="7" width="11.109375" style="3" bestFit="1" customWidth="1"/>
    <col min="8" max="8" width="10.44140625" style="3" bestFit="1" customWidth="1"/>
    <col min="9" max="9" width="11.33203125" style="3" bestFit="1" customWidth="1"/>
    <col min="10" max="10" width="9.5546875" style="3" customWidth="1"/>
    <col min="11" max="11" width="5.5546875" style="12" bestFit="1" customWidth="1"/>
    <col min="12" max="12" width="10" style="3" bestFit="1" customWidth="1"/>
    <col min="13" max="13" width="10.44140625" style="17" bestFit="1" customWidth="1"/>
    <col min="14" max="14" width="2.33203125" style="3" bestFit="1" customWidth="1"/>
    <col min="15" max="16384" width="9.109375" style="3"/>
  </cols>
  <sheetData>
    <row r="1" spans="1:13" ht="27.6" x14ac:dyDescent="0.3">
      <c r="A1" s="1" t="s">
        <v>0</v>
      </c>
      <c r="B1" s="2" t="s">
        <v>48</v>
      </c>
      <c r="C1" s="2" t="s">
        <v>49</v>
      </c>
      <c r="D1" s="2" t="s">
        <v>1</v>
      </c>
      <c r="E1" s="2" t="s">
        <v>2</v>
      </c>
      <c r="F1" s="2" t="s">
        <v>55</v>
      </c>
      <c r="G1" s="1" t="s">
        <v>3</v>
      </c>
      <c r="H1" s="1" t="s">
        <v>56</v>
      </c>
      <c r="I1" s="1" t="s">
        <v>4</v>
      </c>
      <c r="K1" s="3"/>
      <c r="L1" s="3" t="s">
        <v>66</v>
      </c>
      <c r="M1" s="17" t="s">
        <v>60</v>
      </c>
    </row>
    <row r="2" spans="1:13" ht="179.4" x14ac:dyDescent="0.3">
      <c r="A2" s="4">
        <v>1</v>
      </c>
      <c r="B2" s="4" t="s">
        <v>50</v>
      </c>
      <c r="C2" s="4" t="s">
        <v>50</v>
      </c>
      <c r="D2" s="16" t="s">
        <v>67</v>
      </c>
      <c r="E2" s="6" t="s">
        <v>62</v>
      </c>
      <c r="F2" s="4">
        <v>2</v>
      </c>
      <c r="G2" s="7">
        <f>J2*88*1.33</f>
        <v>49156.800000000003</v>
      </c>
      <c r="H2" s="7">
        <f>G2*18%</f>
        <v>8848.2240000000002</v>
      </c>
      <c r="I2" s="8">
        <f>F2*(G2+H2)</f>
        <v>116010.04800000001</v>
      </c>
      <c r="J2" s="9">
        <v>420</v>
      </c>
      <c r="K2" s="10"/>
      <c r="L2" s="10">
        <v>120</v>
      </c>
      <c r="M2" s="17">
        <v>170</v>
      </c>
    </row>
    <row r="3" spans="1:13" ht="179.4" x14ac:dyDescent="0.3">
      <c r="A3" s="4">
        <v>2</v>
      </c>
      <c r="B3" s="4" t="s">
        <v>50</v>
      </c>
      <c r="C3" s="4" t="s">
        <v>50</v>
      </c>
      <c r="D3" s="16" t="s">
        <v>68</v>
      </c>
      <c r="E3" s="6" t="s">
        <v>62</v>
      </c>
      <c r="F3" s="4">
        <v>2</v>
      </c>
      <c r="G3" s="7">
        <f t="shared" ref="G3:G4" si="0">J3*88*1.33</f>
        <v>37452.800000000003</v>
      </c>
      <c r="H3" s="7">
        <f>G3*18%</f>
        <v>6741.5039999999999</v>
      </c>
      <c r="I3" s="8">
        <f>F3*(G3+H3)</f>
        <v>88388.608000000007</v>
      </c>
      <c r="J3" s="9">
        <v>320</v>
      </c>
      <c r="K3" s="10"/>
      <c r="L3" s="10">
        <v>100</v>
      </c>
      <c r="M3" s="17">
        <v>145</v>
      </c>
    </row>
    <row r="4" spans="1:13" ht="179.4" x14ac:dyDescent="0.3">
      <c r="A4" s="4">
        <v>3</v>
      </c>
      <c r="B4" s="4" t="s">
        <v>50</v>
      </c>
      <c r="C4" s="4" t="s">
        <v>50</v>
      </c>
      <c r="D4" s="16" t="s">
        <v>69</v>
      </c>
      <c r="E4" s="6" t="s">
        <v>62</v>
      </c>
      <c r="F4" s="4">
        <v>2</v>
      </c>
      <c r="G4" s="7">
        <f t="shared" si="0"/>
        <v>60860.800000000003</v>
      </c>
      <c r="H4" s="7">
        <f>G4*18%</f>
        <v>10954.944</v>
      </c>
      <c r="I4" s="8">
        <f>F4*(G4+H4)</f>
        <v>143631.48800000001</v>
      </c>
      <c r="J4" s="9">
        <v>520</v>
      </c>
      <c r="K4" s="10"/>
      <c r="L4" s="10">
        <v>180</v>
      </c>
      <c r="M4" s="17">
        <v>228</v>
      </c>
    </row>
    <row r="5" spans="1:13" ht="14.4" customHeight="1" x14ac:dyDescent="0.3">
      <c r="A5" s="4">
        <v>4</v>
      </c>
      <c r="B5" s="96" t="s">
        <v>63</v>
      </c>
      <c r="C5" s="97"/>
      <c r="D5" s="98"/>
      <c r="E5" s="102" t="s">
        <v>65</v>
      </c>
      <c r="F5" s="103"/>
      <c r="G5" s="99">
        <f>SUM(I3:I4)</f>
        <v>232020.09600000002</v>
      </c>
      <c r="H5" s="100"/>
      <c r="I5" s="101"/>
      <c r="J5" s="9"/>
      <c r="K5" s="10"/>
      <c r="L5" s="10"/>
    </row>
    <row r="6" spans="1:13" x14ac:dyDescent="0.3">
      <c r="A6" s="93"/>
      <c r="B6" s="94"/>
      <c r="C6" s="94"/>
      <c r="D6" s="94"/>
      <c r="E6" s="94"/>
      <c r="F6" s="94"/>
      <c r="G6" s="94"/>
      <c r="H6" s="94"/>
      <c r="I6" s="95"/>
    </row>
    <row r="7" spans="1:13" ht="151.80000000000001" x14ac:dyDescent="0.3">
      <c r="A7" s="13" t="s">
        <v>9</v>
      </c>
      <c r="B7" s="85" t="s">
        <v>64</v>
      </c>
      <c r="C7" s="85"/>
      <c r="D7" s="85"/>
      <c r="E7" s="85"/>
      <c r="F7" s="85"/>
      <c r="G7" s="85"/>
      <c r="H7" s="85"/>
      <c r="I7" s="86"/>
    </row>
  </sheetData>
  <mergeCells count="5">
    <mergeCell ref="B5:D5"/>
    <mergeCell ref="E5:F5"/>
    <mergeCell ref="G5:I5"/>
    <mergeCell ref="A6:I6"/>
    <mergeCell ref="B7: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"/>
  <sheetViews>
    <sheetView workbookViewId="0">
      <selection activeCell="G2" sqref="G2"/>
    </sheetView>
  </sheetViews>
  <sheetFormatPr defaultColWidth="9.109375" defaultRowHeight="13.8" x14ac:dyDescent="0.3"/>
  <cols>
    <col min="1" max="1" width="5.88671875" style="3" bestFit="1" customWidth="1"/>
    <col min="2" max="2" width="5.6640625" style="3" bestFit="1" customWidth="1"/>
    <col min="3" max="3" width="8.5546875" style="3" bestFit="1" customWidth="1"/>
    <col min="4" max="4" width="28.88671875" style="3" bestFit="1" customWidth="1"/>
    <col min="5" max="5" width="5" style="3" bestFit="1" customWidth="1"/>
    <col min="6" max="6" width="4" style="3" bestFit="1" customWidth="1"/>
    <col min="7" max="8" width="13.33203125" style="3" bestFit="1" customWidth="1"/>
    <col min="9" max="9" width="16.5546875" style="3" bestFit="1" customWidth="1"/>
    <col min="10" max="10" width="9.109375" style="3"/>
    <col min="11" max="11" width="14" style="12" bestFit="1" customWidth="1"/>
    <col min="12" max="12" width="19.5546875" style="3" customWidth="1"/>
    <col min="13" max="13" width="11.33203125" style="3" bestFit="1" customWidth="1"/>
    <col min="14" max="14" width="10.44140625" style="3" bestFit="1" customWidth="1"/>
    <col min="15" max="16384" width="9.109375" style="3"/>
  </cols>
  <sheetData>
    <row r="1" spans="1:13" ht="27.6" x14ac:dyDescent="0.3">
      <c r="A1" s="1" t="s">
        <v>0</v>
      </c>
      <c r="B1" s="2" t="s">
        <v>48</v>
      </c>
      <c r="C1" s="2" t="s">
        <v>49</v>
      </c>
      <c r="D1" s="2" t="s">
        <v>1</v>
      </c>
      <c r="E1" s="2" t="s">
        <v>2</v>
      </c>
      <c r="F1" s="2" t="s">
        <v>55</v>
      </c>
      <c r="G1" s="1" t="s">
        <v>3</v>
      </c>
      <c r="H1" s="1" t="s">
        <v>56</v>
      </c>
      <c r="I1" s="1" t="s">
        <v>4</v>
      </c>
      <c r="J1" s="3" t="s">
        <v>5</v>
      </c>
      <c r="K1" s="3" t="s">
        <v>47</v>
      </c>
      <c r="L1" s="3" t="s">
        <v>28</v>
      </c>
      <c r="M1" s="3" t="s">
        <v>45</v>
      </c>
    </row>
    <row r="2" spans="1:13" ht="105.6" customHeight="1" x14ac:dyDescent="0.3">
      <c r="A2" s="4">
        <v>1</v>
      </c>
      <c r="B2" s="4" t="s">
        <v>50</v>
      </c>
      <c r="C2" s="4" t="s">
        <v>50</v>
      </c>
      <c r="D2" s="5" t="s">
        <v>72</v>
      </c>
      <c r="E2" s="6" t="s">
        <v>6</v>
      </c>
      <c r="F2" s="4">
        <v>22</v>
      </c>
      <c r="G2" s="7">
        <v>300000</v>
      </c>
      <c r="H2" s="7">
        <f>G2*18%</f>
        <v>54000</v>
      </c>
      <c r="I2" s="8">
        <f>F2*(G2+H2)</f>
        <v>7788000</v>
      </c>
      <c r="J2" s="9">
        <v>2600</v>
      </c>
      <c r="K2" s="10">
        <v>2058</v>
      </c>
      <c r="L2" s="10"/>
    </row>
    <row r="3" spans="1:13" x14ac:dyDescent="0.3">
      <c r="A3" s="93"/>
      <c r="B3" s="94"/>
      <c r="C3" s="94"/>
      <c r="D3" s="94"/>
      <c r="E3" s="94"/>
      <c r="F3" s="94"/>
      <c r="G3" s="94"/>
      <c r="H3" s="94"/>
      <c r="I3" s="95"/>
    </row>
    <row r="4" spans="1:13" ht="157.5" customHeight="1" x14ac:dyDescent="0.3">
      <c r="A4" s="13" t="s">
        <v>9</v>
      </c>
      <c r="B4" s="85" t="s">
        <v>73</v>
      </c>
      <c r="C4" s="85"/>
      <c r="D4" s="85"/>
      <c r="E4" s="85"/>
      <c r="F4" s="85"/>
      <c r="G4" s="85"/>
      <c r="H4" s="85"/>
      <c r="I4" s="86"/>
    </row>
  </sheetData>
  <mergeCells count="2">
    <mergeCell ref="A3:I3"/>
    <mergeCell ref="B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9"/>
  <sheetViews>
    <sheetView topLeftCell="B1" workbookViewId="0">
      <selection activeCell="D2" sqref="D2:K4"/>
    </sheetView>
  </sheetViews>
  <sheetFormatPr defaultColWidth="9.109375" defaultRowHeight="13.8" x14ac:dyDescent="0.3"/>
  <cols>
    <col min="1" max="1" width="5.88671875" style="3" bestFit="1" customWidth="1"/>
    <col min="2" max="3" width="9.88671875" style="3" bestFit="1" customWidth="1"/>
    <col min="4" max="4" width="48.5546875" style="3" customWidth="1"/>
    <col min="5" max="5" width="5" style="3" bestFit="1" customWidth="1"/>
    <col min="6" max="6" width="6.33203125" style="3" bestFit="1" customWidth="1"/>
    <col min="7" max="7" width="13.33203125" style="3" bestFit="1" customWidth="1"/>
    <col min="8" max="8" width="16.5546875" style="3" bestFit="1" customWidth="1"/>
    <col min="9" max="9" width="12.5546875" style="3" bestFit="1" customWidth="1"/>
    <col min="10" max="10" width="14" style="12" bestFit="1" customWidth="1"/>
    <col min="11" max="11" width="19.5546875" style="3" customWidth="1"/>
    <col min="12" max="12" width="9.109375" style="3"/>
    <col min="13" max="13" width="10" style="3" bestFit="1" customWidth="1"/>
    <col min="14" max="16384" width="9.109375" style="3"/>
  </cols>
  <sheetData>
    <row r="1" spans="1:13" ht="27.6" x14ac:dyDescent="0.3">
      <c r="A1" s="1" t="s">
        <v>0</v>
      </c>
      <c r="B1" s="1" t="s">
        <v>48</v>
      </c>
      <c r="C1" s="2" t="s">
        <v>49</v>
      </c>
      <c r="D1" s="2" t="s">
        <v>1</v>
      </c>
      <c r="E1" s="2" t="s">
        <v>2</v>
      </c>
      <c r="F1" s="2" t="s">
        <v>84</v>
      </c>
      <c r="G1" s="1" t="s">
        <v>3</v>
      </c>
      <c r="H1" s="1" t="s">
        <v>4</v>
      </c>
      <c r="I1" s="3" t="s">
        <v>85</v>
      </c>
      <c r="J1" s="3" t="s">
        <v>86</v>
      </c>
      <c r="K1" s="3" t="s">
        <v>60</v>
      </c>
    </row>
    <row r="2" spans="1:13" ht="96.6" x14ac:dyDescent="0.3">
      <c r="A2" s="4">
        <v>1</v>
      </c>
      <c r="B2" s="18" t="s">
        <v>87</v>
      </c>
      <c r="C2" s="18" t="s">
        <v>87</v>
      </c>
      <c r="D2" s="16" t="s">
        <v>88</v>
      </c>
      <c r="E2" s="6" t="s">
        <v>89</v>
      </c>
      <c r="F2" s="4">
        <v>100</v>
      </c>
      <c r="G2" s="7">
        <v>8000</v>
      </c>
      <c r="H2" s="8">
        <f t="shared" ref="H2:H4" si="0">G2*F2</f>
        <v>800000</v>
      </c>
      <c r="I2" s="9"/>
      <c r="J2" s="10">
        <v>88</v>
      </c>
      <c r="K2" s="20">
        <v>60</v>
      </c>
      <c r="L2" s="19"/>
      <c r="M2" s="21">
        <f>K2*F2</f>
        <v>6000</v>
      </c>
    </row>
    <row r="3" spans="1:13" ht="96.6" x14ac:dyDescent="0.3">
      <c r="A3" s="4">
        <v>2</v>
      </c>
      <c r="B3" s="18" t="s">
        <v>87</v>
      </c>
      <c r="C3" s="18" t="s">
        <v>87</v>
      </c>
      <c r="D3" s="16" t="s">
        <v>90</v>
      </c>
      <c r="E3" s="6" t="s">
        <v>89</v>
      </c>
      <c r="F3" s="4">
        <v>250</v>
      </c>
      <c r="G3" s="7">
        <v>33500</v>
      </c>
      <c r="H3" s="8">
        <f t="shared" si="0"/>
        <v>8375000</v>
      </c>
      <c r="I3" s="9"/>
      <c r="J3" s="10">
        <v>338</v>
      </c>
      <c r="K3" s="20">
        <v>290</v>
      </c>
      <c r="L3" s="19">
        <v>270</v>
      </c>
      <c r="M3" s="21">
        <f t="shared" ref="M3:M4" si="1">K3*F3</f>
        <v>72500</v>
      </c>
    </row>
    <row r="4" spans="1:13" ht="96.6" x14ac:dyDescent="0.3">
      <c r="A4" s="4">
        <v>3</v>
      </c>
      <c r="B4" s="18" t="s">
        <v>87</v>
      </c>
      <c r="C4" s="18" t="s">
        <v>87</v>
      </c>
      <c r="D4" s="16" t="s">
        <v>91</v>
      </c>
      <c r="E4" s="6" t="s">
        <v>89</v>
      </c>
      <c r="F4" s="4">
        <v>50</v>
      </c>
      <c r="G4" s="7">
        <v>16500</v>
      </c>
      <c r="H4" s="8">
        <f t="shared" si="0"/>
        <v>825000</v>
      </c>
      <c r="I4" s="9"/>
      <c r="J4" s="10">
        <v>178</v>
      </c>
      <c r="K4" s="20">
        <v>150</v>
      </c>
      <c r="L4" s="19"/>
      <c r="M4" s="21">
        <f t="shared" si="1"/>
        <v>7500</v>
      </c>
    </row>
    <row r="5" spans="1:13" x14ac:dyDescent="0.3">
      <c r="A5" s="4">
        <v>4</v>
      </c>
      <c r="B5" s="92" t="s">
        <v>7</v>
      </c>
      <c r="C5" s="92"/>
      <c r="D5" s="92"/>
      <c r="E5" s="92"/>
      <c r="F5" s="92"/>
      <c r="G5" s="92"/>
      <c r="H5" s="11">
        <f>SUM(H2:H4)</f>
        <v>10000000</v>
      </c>
      <c r="I5" s="19"/>
    </row>
    <row r="6" spans="1:13" x14ac:dyDescent="0.3">
      <c r="A6" s="4">
        <v>5</v>
      </c>
      <c r="B6" s="92" t="s">
        <v>92</v>
      </c>
      <c r="C6" s="92"/>
      <c r="D6" s="92"/>
      <c r="E6" s="92"/>
      <c r="F6" s="92"/>
      <c r="G6" s="92"/>
      <c r="H6" s="11">
        <f>H5*18%</f>
        <v>1800000</v>
      </c>
    </row>
    <row r="7" spans="1:13" x14ac:dyDescent="0.3">
      <c r="A7" s="4">
        <v>6</v>
      </c>
      <c r="B7" s="92" t="s">
        <v>8</v>
      </c>
      <c r="C7" s="92"/>
      <c r="D7" s="92"/>
      <c r="E7" s="92"/>
      <c r="F7" s="92"/>
      <c r="G7" s="92"/>
      <c r="H7" s="11">
        <f>H6+H5</f>
        <v>11800000</v>
      </c>
      <c r="I7" s="19">
        <f>H7*0.98</f>
        <v>11564000</v>
      </c>
      <c r="J7" s="12">
        <v>4213525.12</v>
      </c>
    </row>
    <row r="8" spans="1:13" x14ac:dyDescent="0.3">
      <c r="A8" s="93"/>
      <c r="B8" s="94"/>
      <c r="C8" s="94"/>
      <c r="D8" s="94"/>
      <c r="E8" s="94"/>
      <c r="F8" s="94"/>
      <c r="G8" s="94"/>
      <c r="H8" s="95"/>
      <c r="J8" s="15">
        <f>I7-J7</f>
        <v>7350474.8799999999</v>
      </c>
    </row>
    <row r="9" spans="1:13" ht="151.80000000000001" x14ac:dyDescent="0.3">
      <c r="A9" s="13" t="s">
        <v>9</v>
      </c>
      <c r="B9" s="85" t="s">
        <v>93</v>
      </c>
      <c r="C9" s="85"/>
      <c r="D9" s="85"/>
      <c r="E9" s="85"/>
      <c r="F9" s="85"/>
      <c r="G9" s="85"/>
      <c r="H9" s="86"/>
    </row>
  </sheetData>
  <mergeCells count="5">
    <mergeCell ref="B5:G5"/>
    <mergeCell ref="B6:G6"/>
    <mergeCell ref="B7:G7"/>
    <mergeCell ref="A8:H8"/>
    <mergeCell ref="B9:H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7"/>
  <sheetViews>
    <sheetView topLeftCell="A5" workbookViewId="0">
      <selection activeCell="D12" sqref="D12"/>
    </sheetView>
  </sheetViews>
  <sheetFormatPr defaultColWidth="9.109375" defaultRowHeight="13.8" x14ac:dyDescent="0.3"/>
  <cols>
    <col min="1" max="1" width="5.88671875" style="3" bestFit="1" customWidth="1"/>
    <col min="2" max="2" width="5.6640625" style="3" bestFit="1" customWidth="1"/>
    <col min="3" max="3" width="8.5546875" style="3" bestFit="1" customWidth="1"/>
    <col min="4" max="4" width="28.88671875" style="3" bestFit="1" customWidth="1"/>
    <col min="5" max="5" width="5" style="3" bestFit="1" customWidth="1"/>
    <col min="6" max="6" width="4" style="3" bestFit="1" customWidth="1"/>
    <col min="7" max="8" width="13.33203125" style="3" bestFit="1" customWidth="1"/>
    <col min="9" max="9" width="16.5546875" style="3" bestFit="1" customWidth="1"/>
    <col min="10" max="10" width="9.109375" style="3"/>
    <col min="11" max="11" width="14" style="12" bestFit="1" customWidth="1"/>
    <col min="12" max="12" width="19.5546875" style="3" customWidth="1"/>
    <col min="13" max="13" width="11.33203125" style="22" bestFit="1" customWidth="1"/>
    <col min="14" max="14" width="10.44140625" style="22" bestFit="1" customWidth="1"/>
    <col min="15" max="16384" width="9.109375" style="3"/>
  </cols>
  <sheetData>
    <row r="1" spans="1:14" ht="27.6" x14ac:dyDescent="0.3">
      <c r="A1" s="1" t="s">
        <v>0</v>
      </c>
      <c r="B1" s="2" t="s">
        <v>48</v>
      </c>
      <c r="C1" s="2" t="s">
        <v>49</v>
      </c>
      <c r="D1" s="2" t="s">
        <v>1</v>
      </c>
      <c r="E1" s="2" t="s">
        <v>2</v>
      </c>
      <c r="F1" s="2" t="s">
        <v>55</v>
      </c>
      <c r="G1" s="1" t="s">
        <v>3</v>
      </c>
      <c r="H1" s="1" t="s">
        <v>56</v>
      </c>
      <c r="I1" s="1" t="s">
        <v>4</v>
      </c>
      <c r="J1" s="3" t="s">
        <v>5</v>
      </c>
      <c r="K1" s="3" t="s">
        <v>47</v>
      </c>
      <c r="L1" s="3" t="s">
        <v>83</v>
      </c>
      <c r="M1" s="22" t="s">
        <v>112</v>
      </c>
      <c r="N1" s="22" t="s">
        <v>113</v>
      </c>
    </row>
    <row r="2" spans="1:14" ht="69" x14ac:dyDescent="0.3">
      <c r="A2" s="4">
        <v>1</v>
      </c>
      <c r="B2" s="4" t="s">
        <v>50</v>
      </c>
      <c r="C2" s="4" t="s">
        <v>50</v>
      </c>
      <c r="D2" s="5" t="s">
        <v>74</v>
      </c>
      <c r="E2" s="6" t="s">
        <v>6</v>
      </c>
      <c r="F2" s="4">
        <v>120</v>
      </c>
      <c r="G2" s="7">
        <v>3229</v>
      </c>
      <c r="H2" s="7">
        <f>G2*18%</f>
        <v>581.22</v>
      </c>
      <c r="I2" s="8">
        <f>F2*(G2+H2)</f>
        <v>457226.4</v>
      </c>
      <c r="J2" s="9"/>
      <c r="K2" s="10"/>
      <c r="L2" s="10">
        <v>3500</v>
      </c>
      <c r="M2" s="22">
        <f>120/6.5</f>
        <v>18.46153846153846</v>
      </c>
      <c r="N2" s="22">
        <f>120/6.5</f>
        <v>18.46153846153846</v>
      </c>
    </row>
    <row r="3" spans="1:14" ht="55.2" x14ac:dyDescent="0.3">
      <c r="A3" s="4">
        <v>2</v>
      </c>
      <c r="B3" s="4" t="s">
        <v>50</v>
      </c>
      <c r="C3" s="4" t="s">
        <v>50</v>
      </c>
      <c r="D3" s="5" t="s">
        <v>75</v>
      </c>
      <c r="E3" s="6" t="s">
        <v>6</v>
      </c>
      <c r="F3" s="4">
        <v>6</v>
      </c>
      <c r="G3" s="7">
        <v>54529</v>
      </c>
      <c r="H3" s="7">
        <f t="shared" ref="H3:H15" si="0">G3*18%</f>
        <v>9815.2199999999993</v>
      </c>
      <c r="I3" s="8">
        <f t="shared" ref="I3:I15" si="1">F3*(G3+H3)</f>
        <v>386065.32</v>
      </c>
      <c r="J3" s="9"/>
      <c r="K3" s="10"/>
      <c r="L3" s="10">
        <v>60000</v>
      </c>
      <c r="M3" s="22">
        <f>6/6.5</f>
        <v>0.92307692307692313</v>
      </c>
      <c r="N3" s="22">
        <f>6/6.5</f>
        <v>0.92307692307692313</v>
      </c>
    </row>
    <row r="4" spans="1:14" ht="55.2" x14ac:dyDescent="0.3">
      <c r="A4" s="4">
        <v>3</v>
      </c>
      <c r="B4" s="4" t="s">
        <v>50</v>
      </c>
      <c r="C4" s="4" t="s">
        <v>50</v>
      </c>
      <c r="D4" s="5" t="s">
        <v>76</v>
      </c>
      <c r="E4" s="6" t="s">
        <v>6</v>
      </c>
      <c r="F4" s="4">
        <v>200</v>
      </c>
      <c r="G4" s="7">
        <v>50</v>
      </c>
      <c r="H4" s="7">
        <f t="shared" si="0"/>
        <v>9</v>
      </c>
      <c r="I4" s="8">
        <f t="shared" si="1"/>
        <v>11800</v>
      </c>
      <c r="J4" s="9"/>
      <c r="K4" s="10"/>
      <c r="L4" s="10">
        <v>75</v>
      </c>
      <c r="M4" s="22">
        <f>20/6.5</f>
        <v>3.0769230769230771</v>
      </c>
      <c r="N4" s="22">
        <f>20/6.5</f>
        <v>3.0769230769230771</v>
      </c>
    </row>
    <row r="5" spans="1:14" ht="55.2" x14ac:dyDescent="0.3">
      <c r="A5" s="4">
        <v>4</v>
      </c>
      <c r="B5" s="4" t="s">
        <v>50</v>
      </c>
      <c r="C5" s="4" t="s">
        <v>50</v>
      </c>
      <c r="D5" s="5" t="s">
        <v>77</v>
      </c>
      <c r="E5" s="6" t="s">
        <v>6</v>
      </c>
      <c r="F5" s="4">
        <v>4</v>
      </c>
      <c r="G5" s="7">
        <v>17700</v>
      </c>
      <c r="H5" s="7">
        <f t="shared" si="0"/>
        <v>3186</v>
      </c>
      <c r="I5" s="8">
        <f t="shared" si="1"/>
        <v>83544</v>
      </c>
      <c r="J5" s="9"/>
      <c r="K5" s="10"/>
      <c r="L5" s="10">
        <v>20000</v>
      </c>
      <c r="M5" s="22">
        <f>11040/6.5</f>
        <v>1698.4615384615386</v>
      </c>
      <c r="N5" s="22">
        <f>3640/6.5</f>
        <v>560</v>
      </c>
    </row>
    <row r="6" spans="1:14" ht="55.2" x14ac:dyDescent="0.3">
      <c r="A6" s="4">
        <v>5</v>
      </c>
      <c r="B6" s="4" t="s">
        <v>50</v>
      </c>
      <c r="C6" s="4" t="s">
        <v>50</v>
      </c>
      <c r="D6" s="5" t="s">
        <v>78</v>
      </c>
      <c r="E6" s="6" t="s">
        <v>6</v>
      </c>
      <c r="F6" s="4">
        <v>4</v>
      </c>
      <c r="G6" s="7">
        <v>17700</v>
      </c>
      <c r="H6" s="7">
        <f t="shared" si="0"/>
        <v>3186</v>
      </c>
      <c r="I6" s="8">
        <f t="shared" si="1"/>
        <v>83544</v>
      </c>
      <c r="J6" s="9"/>
      <c r="K6" s="10"/>
      <c r="L6" s="10">
        <v>20000</v>
      </c>
      <c r="M6" s="22">
        <f>11040/6.5</f>
        <v>1698.4615384615386</v>
      </c>
      <c r="N6" s="22">
        <f>3640/6.5</f>
        <v>560</v>
      </c>
    </row>
    <row r="7" spans="1:14" ht="55.2" x14ac:dyDescent="0.3">
      <c r="A7" s="4">
        <v>6</v>
      </c>
      <c r="B7" s="4" t="s">
        <v>50</v>
      </c>
      <c r="C7" s="4" t="s">
        <v>50</v>
      </c>
      <c r="D7" s="5" t="s">
        <v>79</v>
      </c>
      <c r="E7" s="6" t="s">
        <v>6</v>
      </c>
      <c r="F7" s="4">
        <v>2</v>
      </c>
      <c r="G7" s="7">
        <v>56830</v>
      </c>
      <c r="H7" s="7">
        <f t="shared" si="0"/>
        <v>10229.4</v>
      </c>
      <c r="I7" s="8">
        <f t="shared" si="1"/>
        <v>134118.79999999999</v>
      </c>
      <c r="J7" s="9"/>
      <c r="K7" s="10"/>
      <c r="L7" s="10">
        <v>60000</v>
      </c>
      <c r="M7" s="22">
        <f>10750/6.5</f>
        <v>1653.8461538461538</v>
      </c>
      <c r="N7" s="22">
        <f>2800/6.5</f>
        <v>430.76923076923077</v>
      </c>
    </row>
    <row r="8" spans="1:14" ht="41.4" x14ac:dyDescent="0.3">
      <c r="A8" s="4">
        <v>7</v>
      </c>
      <c r="B8" s="4" t="s">
        <v>50</v>
      </c>
      <c r="C8" s="4" t="s">
        <v>50</v>
      </c>
      <c r="D8" s="5" t="s">
        <v>80</v>
      </c>
      <c r="E8" s="6" t="s">
        <v>6</v>
      </c>
      <c r="F8" s="4">
        <v>4</v>
      </c>
      <c r="G8" s="7">
        <v>18500</v>
      </c>
      <c r="H8" s="7">
        <f t="shared" si="0"/>
        <v>3330</v>
      </c>
      <c r="I8" s="8">
        <f t="shared" ref="I8:I11" si="2">F8*(G8+H8)</f>
        <v>87320</v>
      </c>
      <c r="J8" s="9"/>
      <c r="K8" s="10"/>
      <c r="L8" s="10">
        <v>20000</v>
      </c>
      <c r="M8" s="22">
        <f>3500/6.5</f>
        <v>538.46153846153845</v>
      </c>
      <c r="N8" s="22">
        <f>2340/6.5</f>
        <v>360</v>
      </c>
    </row>
    <row r="9" spans="1:14" ht="41.4" x14ac:dyDescent="0.3">
      <c r="A9" s="4">
        <v>8</v>
      </c>
      <c r="B9" s="4" t="s">
        <v>50</v>
      </c>
      <c r="C9" s="4" t="s">
        <v>50</v>
      </c>
      <c r="D9" s="5" t="s">
        <v>81</v>
      </c>
      <c r="E9" s="6" t="s">
        <v>6</v>
      </c>
      <c r="F9" s="4">
        <v>4</v>
      </c>
      <c r="G9" s="7">
        <v>18500</v>
      </c>
      <c r="H9" s="7">
        <f t="shared" si="0"/>
        <v>3330</v>
      </c>
      <c r="I9" s="8">
        <f t="shared" si="2"/>
        <v>87320</v>
      </c>
      <c r="J9" s="9"/>
      <c r="K9" s="10"/>
      <c r="L9" s="10">
        <v>20000</v>
      </c>
      <c r="M9" s="22">
        <f>3500/6.5</f>
        <v>538.46153846153845</v>
      </c>
      <c r="N9" s="22">
        <f>2470/6.5</f>
        <v>380</v>
      </c>
    </row>
    <row r="10" spans="1:14" ht="55.2" x14ac:dyDescent="0.3">
      <c r="A10" s="4">
        <v>9</v>
      </c>
      <c r="B10" s="4" t="s">
        <v>50</v>
      </c>
      <c r="C10" s="4" t="s">
        <v>50</v>
      </c>
      <c r="D10" s="5" t="s">
        <v>82</v>
      </c>
      <c r="E10" s="6" t="s">
        <v>6</v>
      </c>
      <c r="F10" s="4">
        <v>4</v>
      </c>
      <c r="G10" s="7">
        <v>16790</v>
      </c>
      <c r="H10" s="7">
        <f t="shared" si="0"/>
        <v>3022.2</v>
      </c>
      <c r="I10" s="8">
        <f t="shared" si="2"/>
        <v>79248.800000000003</v>
      </c>
      <c r="J10" s="9"/>
      <c r="K10" s="10"/>
      <c r="L10" s="10">
        <v>20000</v>
      </c>
      <c r="M10" s="22">
        <f>3000/6.5</f>
        <v>461.53846153846155</v>
      </c>
      <c r="N10" s="22">
        <f>1000/6.5</f>
        <v>153.84615384615384</v>
      </c>
    </row>
    <row r="11" spans="1:14" ht="82.8" x14ac:dyDescent="0.3">
      <c r="A11" s="4">
        <v>10</v>
      </c>
      <c r="B11" s="4" t="s">
        <v>50</v>
      </c>
      <c r="C11" s="4" t="s">
        <v>50</v>
      </c>
      <c r="D11" s="5" t="s">
        <v>114</v>
      </c>
      <c r="E11" s="6" t="s">
        <v>6</v>
      </c>
      <c r="F11" s="4">
        <v>4</v>
      </c>
      <c r="G11" s="7">
        <v>178000</v>
      </c>
      <c r="H11" s="7">
        <f t="shared" si="0"/>
        <v>32040</v>
      </c>
      <c r="I11" s="8">
        <f t="shared" si="2"/>
        <v>840160</v>
      </c>
      <c r="J11" s="9"/>
      <c r="K11" s="10"/>
      <c r="L11" s="10">
        <v>200000</v>
      </c>
      <c r="M11" s="22">
        <f>4000/6.5</f>
        <v>615.38461538461536</v>
      </c>
      <c r="N11" s="22">
        <f>3800/6.5</f>
        <v>584.61538461538464</v>
      </c>
    </row>
    <row r="12" spans="1:14" ht="27.6" x14ac:dyDescent="0.3">
      <c r="A12" s="4">
        <v>11</v>
      </c>
      <c r="B12" s="4" t="s">
        <v>50</v>
      </c>
      <c r="C12" s="4" t="s">
        <v>50</v>
      </c>
      <c r="D12" s="5" t="s">
        <v>97</v>
      </c>
      <c r="E12" s="6" t="s">
        <v>6</v>
      </c>
      <c r="F12" s="4">
        <v>8</v>
      </c>
      <c r="G12" s="7">
        <v>9800</v>
      </c>
      <c r="H12" s="7">
        <f t="shared" si="0"/>
        <v>1764</v>
      </c>
      <c r="I12" s="8">
        <f t="shared" si="1"/>
        <v>92512</v>
      </c>
      <c r="J12" s="9"/>
      <c r="K12" s="10"/>
      <c r="L12" s="10"/>
    </row>
    <row r="13" spans="1:14" x14ac:dyDescent="0.3">
      <c r="A13" s="4">
        <v>12</v>
      </c>
      <c r="B13" s="4" t="s">
        <v>50</v>
      </c>
      <c r="C13" s="4" t="s">
        <v>50</v>
      </c>
      <c r="D13" s="5" t="s">
        <v>98</v>
      </c>
      <c r="E13" s="6" t="s">
        <v>6</v>
      </c>
      <c r="F13" s="4">
        <v>8</v>
      </c>
      <c r="G13" s="7">
        <v>1000</v>
      </c>
      <c r="H13" s="7">
        <f t="shared" si="0"/>
        <v>180</v>
      </c>
      <c r="I13" s="8">
        <f t="shared" si="1"/>
        <v>9440</v>
      </c>
      <c r="J13" s="9"/>
      <c r="K13" s="10"/>
      <c r="L13" s="10"/>
    </row>
    <row r="14" spans="1:14" ht="27.6" x14ac:dyDescent="0.3">
      <c r="A14" s="4">
        <v>13</v>
      </c>
      <c r="B14" s="4" t="s">
        <v>50</v>
      </c>
      <c r="C14" s="4" t="s">
        <v>50</v>
      </c>
      <c r="D14" s="5" t="s">
        <v>99</v>
      </c>
      <c r="E14" s="6" t="s">
        <v>6</v>
      </c>
      <c r="F14" s="4">
        <v>8</v>
      </c>
      <c r="G14" s="7">
        <v>9800</v>
      </c>
      <c r="H14" s="7">
        <f t="shared" si="0"/>
        <v>1764</v>
      </c>
      <c r="I14" s="8">
        <f t="shared" si="1"/>
        <v>92512</v>
      </c>
      <c r="J14" s="9"/>
      <c r="K14" s="10"/>
      <c r="L14" s="10"/>
    </row>
    <row r="15" spans="1:14" x14ac:dyDescent="0.3">
      <c r="A15" s="4">
        <v>14</v>
      </c>
      <c r="B15" s="4" t="s">
        <v>50</v>
      </c>
      <c r="C15" s="4" t="s">
        <v>50</v>
      </c>
      <c r="D15" s="5" t="s">
        <v>98</v>
      </c>
      <c r="E15" s="6" t="s">
        <v>6</v>
      </c>
      <c r="F15" s="4">
        <v>8</v>
      </c>
      <c r="G15" s="7">
        <v>550</v>
      </c>
      <c r="H15" s="7">
        <f t="shared" si="0"/>
        <v>99</v>
      </c>
      <c r="I15" s="8">
        <f t="shared" si="1"/>
        <v>5192</v>
      </c>
      <c r="J15" s="9"/>
      <c r="K15" s="10"/>
      <c r="L15" s="10"/>
    </row>
    <row r="16" spans="1:14" x14ac:dyDescent="0.3">
      <c r="A16" s="93"/>
      <c r="B16" s="94"/>
      <c r="C16" s="94"/>
      <c r="D16" s="94"/>
      <c r="E16" s="94"/>
      <c r="F16" s="94"/>
      <c r="G16" s="94"/>
      <c r="H16" s="94"/>
      <c r="I16" s="95"/>
    </row>
    <row r="17" spans="1:9" ht="157.5" customHeight="1" x14ac:dyDescent="0.3">
      <c r="A17" s="13" t="s">
        <v>9</v>
      </c>
      <c r="B17" s="85" t="s">
        <v>100</v>
      </c>
      <c r="C17" s="85"/>
      <c r="D17" s="85"/>
      <c r="E17" s="85"/>
      <c r="F17" s="85"/>
      <c r="G17" s="85"/>
      <c r="H17" s="85"/>
      <c r="I17" s="86"/>
    </row>
  </sheetData>
  <mergeCells count="2">
    <mergeCell ref="A16:I16"/>
    <mergeCell ref="B17:I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2"/>
  <sheetViews>
    <sheetView topLeftCell="A7" workbookViewId="0">
      <selection activeCell="B7" sqref="B7"/>
    </sheetView>
  </sheetViews>
  <sheetFormatPr defaultColWidth="9.109375" defaultRowHeight="13.8" x14ac:dyDescent="0.3"/>
  <cols>
    <col min="1" max="1" width="5.88671875" style="3" bestFit="1" customWidth="1"/>
    <col min="2" max="3" width="9.88671875" style="3" bestFit="1" customWidth="1"/>
    <col min="4" max="4" width="48.5546875" style="3" customWidth="1"/>
    <col min="5" max="5" width="5" style="3" bestFit="1" customWidth="1"/>
    <col min="6" max="6" width="6.33203125" style="3" bestFit="1" customWidth="1"/>
    <col min="7" max="7" width="13.33203125" style="3" bestFit="1" customWidth="1"/>
    <col min="8" max="8" width="16.5546875" style="3" bestFit="1" customWidth="1"/>
    <col min="9" max="9" width="11.33203125" style="3" bestFit="1" customWidth="1"/>
    <col min="10" max="10" width="14" style="12" bestFit="1" customWidth="1"/>
    <col min="11" max="11" width="19.5546875" style="3" customWidth="1"/>
    <col min="12" max="16384" width="9.109375" style="3"/>
  </cols>
  <sheetData>
    <row r="1" spans="1:11" ht="27.6" x14ac:dyDescent="0.3">
      <c r="A1" s="1" t="s">
        <v>0</v>
      </c>
      <c r="B1" s="2" t="s">
        <v>49</v>
      </c>
      <c r="C1" s="2" t="s">
        <v>96</v>
      </c>
      <c r="D1" s="2" t="s">
        <v>1</v>
      </c>
      <c r="E1" s="2" t="s">
        <v>2</v>
      </c>
      <c r="F1" s="2" t="s">
        <v>84</v>
      </c>
      <c r="G1" s="1" t="s">
        <v>3</v>
      </c>
      <c r="H1" s="1" t="s">
        <v>4</v>
      </c>
      <c r="I1" s="3" t="s">
        <v>85</v>
      </c>
      <c r="J1" s="3" t="s">
        <v>86</v>
      </c>
      <c r="K1" s="3" t="s">
        <v>60</v>
      </c>
    </row>
    <row r="2" spans="1:11" ht="82.8" x14ac:dyDescent="0.3">
      <c r="A2" s="4">
        <v>1</v>
      </c>
      <c r="B2" s="18" t="s">
        <v>87</v>
      </c>
      <c r="C2" s="18">
        <v>85030090</v>
      </c>
      <c r="D2" s="16" t="s">
        <v>94</v>
      </c>
      <c r="E2" s="6" t="s">
        <v>89</v>
      </c>
      <c r="F2" s="4">
        <v>100</v>
      </c>
      <c r="G2" s="7">
        <f>I2*88*1.32</f>
        <v>12777.6</v>
      </c>
      <c r="H2" s="8">
        <f t="shared" ref="H2:H7" si="0">G2*F2</f>
        <v>1277760</v>
      </c>
      <c r="I2" s="9">
        <v>110</v>
      </c>
      <c r="J2" s="10">
        <v>120</v>
      </c>
      <c r="K2" s="20">
        <v>60</v>
      </c>
    </row>
    <row r="3" spans="1:11" ht="55.2" x14ac:dyDescent="0.3">
      <c r="A3" s="4">
        <v>2</v>
      </c>
      <c r="B3" s="18" t="s">
        <v>87</v>
      </c>
      <c r="C3" s="18">
        <v>85322990</v>
      </c>
      <c r="D3" s="16" t="s">
        <v>95</v>
      </c>
      <c r="E3" s="6" t="s">
        <v>89</v>
      </c>
      <c r="F3" s="4">
        <v>100</v>
      </c>
      <c r="G3" s="7">
        <f>I3*88*1.32</f>
        <v>1161.6000000000001</v>
      </c>
      <c r="H3" s="8">
        <f t="shared" si="0"/>
        <v>116160.00000000001</v>
      </c>
      <c r="I3" s="9">
        <v>10</v>
      </c>
      <c r="J3" s="10">
        <v>3</v>
      </c>
      <c r="K3" s="20">
        <v>290</v>
      </c>
    </row>
    <row r="4" spans="1:11" ht="110.4" x14ac:dyDescent="0.3">
      <c r="A4" s="4">
        <v>3</v>
      </c>
      <c r="B4" s="18" t="s">
        <v>87</v>
      </c>
      <c r="C4" s="18">
        <v>85030090</v>
      </c>
      <c r="D4" s="16" t="s">
        <v>138</v>
      </c>
      <c r="E4" s="6" t="s">
        <v>89</v>
      </c>
      <c r="F4" s="4">
        <v>15</v>
      </c>
      <c r="G4" s="7">
        <f>I4*84*1.3</f>
        <v>42042</v>
      </c>
      <c r="H4" s="8">
        <f t="shared" si="0"/>
        <v>630630</v>
      </c>
      <c r="I4" s="9">
        <v>385</v>
      </c>
      <c r="J4" s="10">
        <v>120</v>
      </c>
      <c r="K4" s="20">
        <v>60</v>
      </c>
    </row>
    <row r="5" spans="1:11" ht="110.4" x14ac:dyDescent="0.3">
      <c r="A5" s="4">
        <v>4</v>
      </c>
      <c r="B5" s="18" t="s">
        <v>87</v>
      </c>
      <c r="C5" s="18">
        <v>85030090</v>
      </c>
      <c r="D5" s="16" t="s">
        <v>139</v>
      </c>
      <c r="E5" s="6" t="s">
        <v>89</v>
      </c>
      <c r="F5" s="4">
        <v>15</v>
      </c>
      <c r="G5" s="7">
        <f t="shared" ref="G5:G7" si="1">I5*84*1.3</f>
        <v>32760</v>
      </c>
      <c r="H5" s="8">
        <f t="shared" si="0"/>
        <v>491400</v>
      </c>
      <c r="I5" s="9">
        <v>300</v>
      </c>
      <c r="J5" s="10">
        <v>120</v>
      </c>
      <c r="K5" s="20">
        <v>60</v>
      </c>
    </row>
    <row r="6" spans="1:11" ht="82.8" x14ac:dyDescent="0.3">
      <c r="A6" s="4">
        <v>5</v>
      </c>
      <c r="B6" s="18" t="s">
        <v>87</v>
      </c>
      <c r="C6" s="18">
        <v>85030090</v>
      </c>
      <c r="D6" s="16" t="s">
        <v>141</v>
      </c>
      <c r="E6" s="6" t="s">
        <v>89</v>
      </c>
      <c r="F6" s="4">
        <v>20</v>
      </c>
      <c r="G6" s="7">
        <f t="shared" si="1"/>
        <v>1528.8</v>
      </c>
      <c r="H6" s="8">
        <f t="shared" si="0"/>
        <v>30576</v>
      </c>
      <c r="I6" s="9">
        <v>14</v>
      </c>
      <c r="J6" s="10">
        <v>120</v>
      </c>
      <c r="K6" s="20">
        <v>60</v>
      </c>
    </row>
    <row r="7" spans="1:11" ht="96.6" x14ac:dyDescent="0.3">
      <c r="A7" s="4">
        <v>6</v>
      </c>
      <c r="B7" s="18" t="s">
        <v>87</v>
      </c>
      <c r="C7" s="18">
        <v>85030090</v>
      </c>
      <c r="D7" s="16" t="s">
        <v>140</v>
      </c>
      <c r="E7" s="6" t="s">
        <v>89</v>
      </c>
      <c r="F7" s="4">
        <v>6</v>
      </c>
      <c r="G7" s="7">
        <f t="shared" si="1"/>
        <v>9828</v>
      </c>
      <c r="H7" s="8">
        <f t="shared" si="0"/>
        <v>58968</v>
      </c>
      <c r="I7" s="9">
        <v>90</v>
      </c>
      <c r="J7" s="10">
        <v>120</v>
      </c>
      <c r="K7" s="20">
        <v>60</v>
      </c>
    </row>
    <row r="8" spans="1:11" x14ac:dyDescent="0.3">
      <c r="A8" s="4">
        <v>7</v>
      </c>
      <c r="B8" s="92" t="s">
        <v>7</v>
      </c>
      <c r="C8" s="92"/>
      <c r="D8" s="92"/>
      <c r="E8" s="92"/>
      <c r="F8" s="92"/>
      <c r="G8" s="92"/>
      <c r="H8" s="11">
        <f>SUM(H2:H7)</f>
        <v>2605494</v>
      </c>
    </row>
    <row r="9" spans="1:11" x14ac:dyDescent="0.3">
      <c r="A9" s="4">
        <v>8</v>
      </c>
      <c r="B9" s="92" t="s">
        <v>92</v>
      </c>
      <c r="C9" s="92"/>
      <c r="D9" s="92"/>
      <c r="E9" s="92"/>
      <c r="F9" s="92"/>
      <c r="G9" s="92"/>
      <c r="H9" s="11">
        <f>H8*18%</f>
        <v>468988.92</v>
      </c>
    </row>
    <row r="10" spans="1:11" x14ac:dyDescent="0.3">
      <c r="A10" s="4">
        <v>9</v>
      </c>
      <c r="B10" s="92" t="s">
        <v>8</v>
      </c>
      <c r="C10" s="92"/>
      <c r="D10" s="92"/>
      <c r="E10" s="92"/>
      <c r="F10" s="92"/>
      <c r="G10" s="92"/>
      <c r="H10" s="11">
        <f>H9+H8</f>
        <v>3074482.92</v>
      </c>
      <c r="I10" s="19">
        <f>H10*0.98</f>
        <v>3012993.2615999999</v>
      </c>
      <c r="J10" s="12">
        <v>4213525.12</v>
      </c>
    </row>
    <row r="11" spans="1:11" x14ac:dyDescent="0.3">
      <c r="A11" s="93"/>
      <c r="B11" s="94"/>
      <c r="C11" s="94"/>
      <c r="D11" s="94"/>
      <c r="E11" s="94"/>
      <c r="F11" s="94"/>
      <c r="G11" s="94"/>
      <c r="H11" s="95"/>
      <c r="J11" s="15">
        <f>I10-J10</f>
        <v>-1200531.8584000003</v>
      </c>
    </row>
    <row r="12" spans="1:11" ht="159.6" customHeight="1" x14ac:dyDescent="0.3">
      <c r="A12" s="13" t="s">
        <v>9</v>
      </c>
      <c r="B12" s="85" t="s">
        <v>142</v>
      </c>
      <c r="C12" s="85"/>
      <c r="D12" s="85"/>
      <c r="E12" s="85"/>
      <c r="F12" s="85"/>
      <c r="G12" s="85"/>
      <c r="H12" s="86"/>
    </row>
  </sheetData>
  <mergeCells count="5">
    <mergeCell ref="B8:G8"/>
    <mergeCell ref="B9:G9"/>
    <mergeCell ref="B10:G10"/>
    <mergeCell ref="A11:H11"/>
    <mergeCell ref="B12:H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0"/>
  <sheetViews>
    <sheetView topLeftCell="A3" workbookViewId="0">
      <selection activeCell="G5" sqref="G5"/>
    </sheetView>
  </sheetViews>
  <sheetFormatPr defaultColWidth="9.109375" defaultRowHeight="13.8" x14ac:dyDescent="0.3"/>
  <cols>
    <col min="1" max="1" width="5.88671875" style="3" bestFit="1" customWidth="1"/>
    <col min="2" max="2" width="5.6640625" style="3" bestFit="1" customWidth="1"/>
    <col min="3" max="3" width="8.5546875" style="3" bestFit="1" customWidth="1"/>
    <col min="4" max="4" width="52.33203125" style="3" customWidth="1"/>
    <col min="5" max="5" width="5" style="3" bestFit="1" customWidth="1"/>
    <col min="6" max="6" width="4" style="3" bestFit="1" customWidth="1"/>
    <col min="7" max="8" width="13.33203125" style="3" bestFit="1" customWidth="1"/>
    <col min="9" max="9" width="16.5546875" style="3" bestFit="1" customWidth="1"/>
    <col min="10" max="10" width="9.109375" style="3"/>
    <col min="11" max="11" width="14" style="12" bestFit="1" customWidth="1"/>
    <col min="12" max="12" width="19.5546875" style="3" customWidth="1"/>
    <col min="13" max="13" width="11.33203125" style="3" bestFit="1" customWidth="1"/>
    <col min="14" max="14" width="10.44140625" style="3" bestFit="1" customWidth="1"/>
    <col min="15" max="16384" width="9.109375" style="3"/>
  </cols>
  <sheetData>
    <row r="1" spans="1:13" ht="27.6" x14ac:dyDescent="0.3">
      <c r="A1" s="1" t="s">
        <v>0</v>
      </c>
      <c r="B1" s="2" t="s">
        <v>48</v>
      </c>
      <c r="C1" s="2" t="s">
        <v>49</v>
      </c>
      <c r="D1" s="2" t="s">
        <v>1</v>
      </c>
      <c r="E1" s="2" t="s">
        <v>2</v>
      </c>
      <c r="F1" s="2" t="s">
        <v>55</v>
      </c>
      <c r="G1" s="1" t="s">
        <v>3</v>
      </c>
      <c r="H1" s="1" t="s">
        <v>56</v>
      </c>
      <c r="I1" s="1" t="s">
        <v>4</v>
      </c>
      <c r="J1" s="3" t="s">
        <v>5</v>
      </c>
      <c r="K1" s="3" t="s">
        <v>60</v>
      </c>
      <c r="L1" s="3" t="s">
        <v>111</v>
      </c>
      <c r="M1" s="3" t="s">
        <v>45</v>
      </c>
    </row>
    <row r="2" spans="1:13" ht="55.2" x14ac:dyDescent="0.3">
      <c r="A2" s="4">
        <v>1</v>
      </c>
      <c r="B2" s="4" t="s">
        <v>50</v>
      </c>
      <c r="C2" s="4" t="s">
        <v>50</v>
      </c>
      <c r="D2" s="5" t="s">
        <v>108</v>
      </c>
      <c r="E2" s="6" t="s">
        <v>6</v>
      </c>
      <c r="F2" s="4">
        <v>10</v>
      </c>
      <c r="G2" s="7">
        <v>36000</v>
      </c>
      <c r="H2" s="7">
        <f t="shared" ref="H2:H4" si="0">G2*18%</f>
        <v>6480</v>
      </c>
      <c r="I2" s="8">
        <f t="shared" ref="I2:I4" si="1">F2*(G2+H2)</f>
        <v>424800</v>
      </c>
      <c r="J2" s="9">
        <f>K2*88*1.3</f>
        <v>35464</v>
      </c>
      <c r="K2" s="10">
        <v>310</v>
      </c>
      <c r="L2" s="10">
        <v>37449</v>
      </c>
    </row>
    <row r="3" spans="1:13" ht="55.2" x14ac:dyDescent="0.3">
      <c r="A3" s="4">
        <v>2</v>
      </c>
      <c r="B3" s="4" t="s">
        <v>50</v>
      </c>
      <c r="C3" s="4" t="s">
        <v>50</v>
      </c>
      <c r="D3" s="5" t="s">
        <v>109</v>
      </c>
      <c r="E3" s="6" t="s">
        <v>6</v>
      </c>
      <c r="F3" s="4">
        <v>4</v>
      </c>
      <c r="G3" s="7">
        <v>41000</v>
      </c>
      <c r="H3" s="7">
        <f t="shared" ref="H3" si="2">G3*18%</f>
        <v>7380</v>
      </c>
      <c r="I3" s="8">
        <f t="shared" ref="I3" si="3">F3*(G3+H3)</f>
        <v>193520</v>
      </c>
      <c r="J3" s="9">
        <f t="shared" ref="J3:J4" si="4">K3*88*1.3</f>
        <v>40040</v>
      </c>
      <c r="K3" s="10">
        <v>350</v>
      </c>
      <c r="L3" s="10">
        <v>42579</v>
      </c>
    </row>
    <row r="4" spans="1:13" ht="55.2" x14ac:dyDescent="0.3">
      <c r="A4" s="4">
        <v>3</v>
      </c>
      <c r="B4" s="4" t="s">
        <v>50</v>
      </c>
      <c r="C4" s="4" t="s">
        <v>50</v>
      </c>
      <c r="D4" s="5" t="s">
        <v>110</v>
      </c>
      <c r="E4" s="6" t="s">
        <v>6</v>
      </c>
      <c r="F4" s="4">
        <v>10</v>
      </c>
      <c r="G4" s="7">
        <v>36000</v>
      </c>
      <c r="H4" s="7">
        <f t="shared" si="0"/>
        <v>6480</v>
      </c>
      <c r="I4" s="8">
        <f t="shared" si="1"/>
        <v>424800</v>
      </c>
      <c r="J4" s="9">
        <f t="shared" si="4"/>
        <v>40040</v>
      </c>
      <c r="K4" s="10">
        <v>350</v>
      </c>
      <c r="L4" s="10">
        <v>37449</v>
      </c>
    </row>
    <row r="5" spans="1:13" ht="96.6" x14ac:dyDescent="0.3">
      <c r="A5" s="4">
        <v>4</v>
      </c>
      <c r="B5" s="4" t="s">
        <v>50</v>
      </c>
      <c r="C5" s="4" t="s">
        <v>50</v>
      </c>
      <c r="D5" s="5" t="s">
        <v>102</v>
      </c>
      <c r="E5" s="6" t="s">
        <v>6</v>
      </c>
      <c r="F5" s="4">
        <v>15</v>
      </c>
      <c r="G5" s="7">
        <v>7200</v>
      </c>
      <c r="H5" s="7">
        <f t="shared" ref="H5:H8" si="5">G5*18%</f>
        <v>1296</v>
      </c>
      <c r="I5" s="8">
        <f t="shared" ref="I5:I8" si="6">F5*(G5+H5)</f>
        <v>127440</v>
      </c>
      <c r="J5" s="9"/>
      <c r="K5" s="10" t="s">
        <v>106</v>
      </c>
      <c r="L5" s="10"/>
    </row>
    <row r="6" spans="1:13" ht="55.2" x14ac:dyDescent="0.3">
      <c r="A6" s="4">
        <v>5</v>
      </c>
      <c r="B6" s="4" t="s">
        <v>50</v>
      </c>
      <c r="C6" s="4" t="s">
        <v>50</v>
      </c>
      <c r="D6" s="5" t="s">
        <v>103</v>
      </c>
      <c r="E6" s="6" t="s">
        <v>6</v>
      </c>
      <c r="F6" s="4">
        <v>15</v>
      </c>
      <c r="G6" s="7">
        <v>2190</v>
      </c>
      <c r="H6" s="7">
        <f t="shared" si="5"/>
        <v>394.2</v>
      </c>
      <c r="I6" s="8">
        <f t="shared" si="6"/>
        <v>38763</v>
      </c>
      <c r="J6" s="9"/>
      <c r="K6" s="10" t="s">
        <v>107</v>
      </c>
      <c r="L6" s="10"/>
    </row>
    <row r="7" spans="1:13" ht="41.4" x14ac:dyDescent="0.3">
      <c r="A7" s="4">
        <v>6</v>
      </c>
      <c r="B7" s="4" t="s">
        <v>50</v>
      </c>
      <c r="C7" s="4" t="s">
        <v>50</v>
      </c>
      <c r="D7" s="5" t="s">
        <v>104</v>
      </c>
      <c r="E7" s="6" t="s">
        <v>6</v>
      </c>
      <c r="F7" s="4">
        <v>6</v>
      </c>
      <c r="G7" s="7"/>
      <c r="H7" s="7">
        <f t="shared" si="5"/>
        <v>0</v>
      </c>
      <c r="I7" s="8">
        <f t="shared" si="6"/>
        <v>0</v>
      </c>
      <c r="J7" s="9"/>
      <c r="K7" s="10"/>
      <c r="L7" s="10"/>
    </row>
    <row r="8" spans="1:13" ht="41.4" x14ac:dyDescent="0.3">
      <c r="A8" s="4">
        <v>7</v>
      </c>
      <c r="B8" s="4" t="s">
        <v>50</v>
      </c>
      <c r="C8" s="4" t="s">
        <v>50</v>
      </c>
      <c r="D8" s="5" t="s">
        <v>105</v>
      </c>
      <c r="E8" s="6" t="s">
        <v>6</v>
      </c>
      <c r="F8" s="4">
        <v>10</v>
      </c>
      <c r="G8" s="7"/>
      <c r="H8" s="7">
        <f t="shared" si="5"/>
        <v>0</v>
      </c>
      <c r="I8" s="8">
        <f t="shared" si="6"/>
        <v>0</v>
      </c>
      <c r="J8" s="9"/>
      <c r="K8" s="10"/>
      <c r="L8" s="10"/>
    </row>
    <row r="9" spans="1:13" x14ac:dyDescent="0.3">
      <c r="A9" s="93"/>
      <c r="B9" s="94"/>
      <c r="C9" s="94"/>
      <c r="D9" s="94"/>
      <c r="E9" s="94"/>
      <c r="F9" s="94"/>
      <c r="G9" s="94"/>
      <c r="H9" s="94"/>
      <c r="I9" s="95"/>
    </row>
    <row r="10" spans="1:13" ht="143.1" customHeight="1" x14ac:dyDescent="0.3">
      <c r="A10" s="13" t="s">
        <v>9</v>
      </c>
      <c r="B10" s="104" t="s">
        <v>101</v>
      </c>
      <c r="C10" s="104"/>
      <c r="D10" s="104"/>
      <c r="E10" s="104"/>
      <c r="F10" s="104"/>
      <c r="G10" s="104"/>
      <c r="H10" s="104"/>
      <c r="I10" s="104"/>
      <c r="J10" s="12"/>
      <c r="K10" s="3"/>
    </row>
  </sheetData>
  <mergeCells count="2">
    <mergeCell ref="A9:I9"/>
    <mergeCell ref="B10:I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1"/>
  <sheetViews>
    <sheetView workbookViewId="0">
      <selection activeCell="M2" sqref="M2"/>
    </sheetView>
  </sheetViews>
  <sheetFormatPr defaultColWidth="9.109375" defaultRowHeight="13.8" x14ac:dyDescent="0.3"/>
  <cols>
    <col min="1" max="1" width="5.88671875" style="3" bestFit="1" customWidth="1"/>
    <col min="2" max="2" width="5.6640625" style="3" bestFit="1" customWidth="1"/>
    <col min="3" max="3" width="8.5546875" style="3" bestFit="1" customWidth="1"/>
    <col min="4" max="4" width="22.6640625" style="3" bestFit="1" customWidth="1"/>
    <col min="5" max="5" width="20.44140625" style="3" customWidth="1"/>
    <col min="6" max="6" width="13.88671875" style="3" customWidth="1"/>
    <col min="7" max="7" width="5" style="3" bestFit="1" customWidth="1"/>
    <col min="8" max="8" width="4" style="3" bestFit="1" customWidth="1"/>
    <col min="9" max="10" width="13.33203125" style="3" bestFit="1" customWidth="1"/>
    <col min="11" max="11" width="16.5546875" style="3" bestFit="1" customWidth="1"/>
    <col min="12" max="12" width="9.109375" style="3"/>
    <col min="13" max="13" width="14" style="12" bestFit="1" customWidth="1"/>
    <col min="14" max="14" width="11.5546875" style="3" customWidth="1"/>
    <col min="15" max="15" width="11.33203125" style="3" bestFit="1" customWidth="1"/>
    <col min="16" max="16" width="10.44140625" style="3" bestFit="1" customWidth="1"/>
    <col min="17" max="16384" width="9.109375" style="3"/>
  </cols>
  <sheetData>
    <row r="1" spans="1:15" ht="27.6" x14ac:dyDescent="0.3">
      <c r="A1" s="1" t="s">
        <v>0</v>
      </c>
      <c r="B1" s="2" t="s">
        <v>48</v>
      </c>
      <c r="C1" s="2" t="s">
        <v>116</v>
      </c>
      <c r="D1" s="2" t="s">
        <v>1</v>
      </c>
      <c r="E1" s="2" t="s">
        <v>118</v>
      </c>
      <c r="F1" s="2" t="s">
        <v>117</v>
      </c>
      <c r="G1" s="2" t="s">
        <v>2</v>
      </c>
      <c r="H1" s="2" t="s">
        <v>55</v>
      </c>
      <c r="I1" s="1" t="s">
        <v>3</v>
      </c>
      <c r="J1" s="1" t="s">
        <v>56</v>
      </c>
      <c r="K1" s="1" t="s">
        <v>4</v>
      </c>
      <c r="L1" s="3" t="s">
        <v>5</v>
      </c>
      <c r="M1" s="3" t="s">
        <v>86</v>
      </c>
      <c r="N1" s="3" t="s">
        <v>83</v>
      </c>
      <c r="O1" s="3" t="s">
        <v>136</v>
      </c>
    </row>
    <row r="2" spans="1:15" ht="27.6" x14ac:dyDescent="0.3">
      <c r="A2" s="4">
        <v>1</v>
      </c>
      <c r="B2" s="4" t="s">
        <v>50</v>
      </c>
      <c r="C2" s="4" t="s">
        <v>50</v>
      </c>
      <c r="D2" s="5" t="s">
        <v>115</v>
      </c>
      <c r="E2" s="4" t="s">
        <v>121</v>
      </c>
      <c r="F2" s="4" t="s">
        <v>122</v>
      </c>
      <c r="G2" s="6" t="s">
        <v>6</v>
      </c>
      <c r="H2" s="4">
        <v>5</v>
      </c>
      <c r="I2" s="7">
        <v>76500</v>
      </c>
      <c r="J2" s="7"/>
      <c r="K2" s="8">
        <f t="shared" ref="K2:K9" si="0">H2*(I2+J2)</f>
        <v>382500</v>
      </c>
      <c r="L2" s="9"/>
      <c r="M2" s="10">
        <v>475</v>
      </c>
      <c r="N2" s="10">
        <v>93840</v>
      </c>
      <c r="O2" s="3">
        <v>88000</v>
      </c>
    </row>
    <row r="3" spans="1:15" x14ac:dyDescent="0.3">
      <c r="A3" s="4">
        <v>2</v>
      </c>
      <c r="B3" s="4" t="s">
        <v>50</v>
      </c>
      <c r="C3" s="4" t="s">
        <v>50</v>
      </c>
      <c r="D3" s="5" t="s">
        <v>119</v>
      </c>
      <c r="E3" s="4" t="s">
        <v>120</v>
      </c>
      <c r="F3" s="4" t="s">
        <v>122</v>
      </c>
      <c r="G3" s="6" t="s">
        <v>6</v>
      </c>
      <c r="H3" s="4">
        <v>3</v>
      </c>
      <c r="I3" s="7">
        <v>45500</v>
      </c>
      <c r="J3" s="7"/>
      <c r="K3" s="8">
        <f t="shared" si="0"/>
        <v>136500</v>
      </c>
      <c r="L3" s="9"/>
      <c r="M3" s="10">
        <v>110</v>
      </c>
      <c r="N3" s="10">
        <v>56040</v>
      </c>
      <c r="O3" s="3">
        <v>50500</v>
      </c>
    </row>
    <row r="4" spans="1:15" x14ac:dyDescent="0.3">
      <c r="A4" s="4">
        <v>3</v>
      </c>
      <c r="B4" s="4" t="s">
        <v>50</v>
      </c>
      <c r="C4" s="4" t="s">
        <v>50</v>
      </c>
      <c r="D4" s="5" t="s">
        <v>123</v>
      </c>
      <c r="E4" s="4" t="s">
        <v>124</v>
      </c>
      <c r="F4" s="4" t="s">
        <v>125</v>
      </c>
      <c r="G4" s="6" t="s">
        <v>6</v>
      </c>
      <c r="H4" s="4">
        <v>10</v>
      </c>
      <c r="I4" s="7">
        <v>6000</v>
      </c>
      <c r="J4" s="7"/>
      <c r="K4" s="8">
        <f t="shared" si="0"/>
        <v>60000</v>
      </c>
      <c r="L4" s="9"/>
      <c r="M4" s="10">
        <v>11</v>
      </c>
      <c r="N4" s="10">
        <v>7440</v>
      </c>
      <c r="O4" s="3">
        <v>7200</v>
      </c>
    </row>
    <row r="5" spans="1:15" x14ac:dyDescent="0.3">
      <c r="A5" s="4">
        <v>4</v>
      </c>
      <c r="B5" s="4" t="s">
        <v>50</v>
      </c>
      <c r="C5" s="4" t="s">
        <v>50</v>
      </c>
      <c r="D5" s="5" t="s">
        <v>127</v>
      </c>
      <c r="E5" s="4" t="s">
        <v>128</v>
      </c>
      <c r="F5" s="4" t="s">
        <v>126</v>
      </c>
      <c r="G5" s="6" t="s">
        <v>6</v>
      </c>
      <c r="H5" s="4">
        <v>10</v>
      </c>
      <c r="I5" s="7">
        <v>700</v>
      </c>
      <c r="J5" s="7"/>
      <c r="K5" s="8">
        <f t="shared" si="0"/>
        <v>7000</v>
      </c>
      <c r="L5" s="9"/>
      <c r="M5" s="10">
        <f>8+9.5+12</f>
        <v>29.5</v>
      </c>
      <c r="N5" s="10">
        <v>840</v>
      </c>
      <c r="O5" s="3">
        <v>780</v>
      </c>
    </row>
    <row r="6" spans="1:15" x14ac:dyDescent="0.3">
      <c r="A6" s="4">
        <v>5</v>
      </c>
      <c r="B6" s="4" t="s">
        <v>50</v>
      </c>
      <c r="C6" s="4" t="s">
        <v>50</v>
      </c>
      <c r="D6" s="5" t="s">
        <v>127</v>
      </c>
      <c r="E6" s="4" t="s">
        <v>130</v>
      </c>
      <c r="F6" s="4" t="s">
        <v>129</v>
      </c>
      <c r="G6" s="6" t="s">
        <v>6</v>
      </c>
      <c r="H6" s="4">
        <v>10</v>
      </c>
      <c r="I6" s="7">
        <v>200</v>
      </c>
      <c r="J6" s="7"/>
      <c r="K6" s="8">
        <f t="shared" si="0"/>
        <v>2000</v>
      </c>
      <c r="L6" s="9"/>
      <c r="M6" s="10">
        <v>0.5</v>
      </c>
      <c r="N6" s="10">
        <v>264</v>
      </c>
      <c r="O6" s="3">
        <v>250</v>
      </c>
    </row>
    <row r="7" spans="1:15" ht="82.8" x14ac:dyDescent="0.3">
      <c r="A7" s="4">
        <v>6</v>
      </c>
      <c r="B7" s="4" t="s">
        <v>50</v>
      </c>
      <c r="C7" s="4" t="s">
        <v>50</v>
      </c>
      <c r="D7" s="5" t="s">
        <v>131</v>
      </c>
      <c r="E7" s="4"/>
      <c r="F7" s="4"/>
      <c r="G7" s="6" t="s">
        <v>6</v>
      </c>
      <c r="H7" s="4">
        <v>2</v>
      </c>
      <c r="I7" s="7">
        <v>480000</v>
      </c>
      <c r="J7" s="7"/>
      <c r="K7" s="8">
        <f t="shared" si="0"/>
        <v>960000</v>
      </c>
      <c r="L7" s="9"/>
      <c r="M7" s="10">
        <v>2580</v>
      </c>
      <c r="N7" s="10">
        <v>560160</v>
      </c>
      <c r="O7" s="3">
        <v>528000</v>
      </c>
    </row>
    <row r="8" spans="1:15" x14ac:dyDescent="0.3">
      <c r="A8" s="4">
        <v>7</v>
      </c>
      <c r="B8" s="4" t="s">
        <v>50</v>
      </c>
      <c r="C8" s="4" t="s">
        <v>50</v>
      </c>
      <c r="D8" s="5" t="s">
        <v>132</v>
      </c>
      <c r="E8" s="4"/>
      <c r="F8" s="4" t="s">
        <v>133</v>
      </c>
      <c r="G8" s="6" t="s">
        <v>6</v>
      </c>
      <c r="H8" s="4">
        <v>2</v>
      </c>
      <c r="I8" s="7">
        <v>1100000</v>
      </c>
      <c r="J8" s="7"/>
      <c r="K8" s="8">
        <f t="shared" ref="K8" si="1">H8*(I8+J8)</f>
        <v>2200000</v>
      </c>
      <c r="L8" s="9"/>
      <c r="M8" s="10">
        <v>16666</v>
      </c>
      <c r="N8" s="10">
        <v>1205400</v>
      </c>
      <c r="O8" s="3">
        <v>1144560</v>
      </c>
    </row>
    <row r="9" spans="1:15" x14ac:dyDescent="0.3">
      <c r="A9" s="4">
        <v>8</v>
      </c>
      <c r="B9" s="4" t="s">
        <v>50</v>
      </c>
      <c r="C9" s="4" t="s">
        <v>50</v>
      </c>
      <c r="D9" s="5" t="s">
        <v>134</v>
      </c>
      <c r="E9" s="4" t="s">
        <v>135</v>
      </c>
      <c r="F9" s="4"/>
      <c r="G9" s="6" t="s">
        <v>6</v>
      </c>
      <c r="H9" s="4"/>
      <c r="I9" s="7">
        <v>900000</v>
      </c>
      <c r="J9" s="7">
        <f t="shared" ref="J9" si="2">I9*18%</f>
        <v>162000</v>
      </c>
      <c r="K9" s="8">
        <f t="shared" si="0"/>
        <v>0</v>
      </c>
      <c r="L9" s="9"/>
      <c r="M9" s="10"/>
      <c r="N9" s="10">
        <v>601538</v>
      </c>
      <c r="O9" s="3">
        <v>598000</v>
      </c>
    </row>
    <row r="10" spans="1:15" x14ac:dyDescent="0.3">
      <c r="A10" s="105"/>
      <c r="B10" s="105"/>
      <c r="C10" s="105"/>
      <c r="D10" s="105"/>
      <c r="E10" s="105"/>
      <c r="F10" s="105"/>
      <c r="G10" s="105"/>
      <c r="H10" s="105"/>
      <c r="I10" s="105"/>
      <c r="J10" s="105"/>
      <c r="K10" s="105"/>
    </row>
    <row r="11" spans="1:15" ht="143.1" customHeight="1" x14ac:dyDescent="0.3">
      <c r="A11" s="23" t="s">
        <v>9</v>
      </c>
      <c r="B11" s="106" t="s">
        <v>137</v>
      </c>
      <c r="C11" s="106"/>
      <c r="D11" s="106"/>
      <c r="E11" s="106"/>
      <c r="F11" s="106"/>
      <c r="G11" s="106"/>
      <c r="H11" s="106"/>
      <c r="I11" s="106"/>
      <c r="J11" s="106"/>
      <c r="K11" s="106"/>
      <c r="L11" s="12"/>
      <c r="M11" s="3"/>
    </row>
  </sheetData>
  <mergeCells count="2">
    <mergeCell ref="A10:K10"/>
    <mergeCell ref="B11:K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6"/>
  <sheetViews>
    <sheetView workbookViewId="0">
      <selection activeCell="B1" sqref="B1"/>
    </sheetView>
  </sheetViews>
  <sheetFormatPr defaultColWidth="9.109375" defaultRowHeight="13.8" x14ac:dyDescent="0.3"/>
  <cols>
    <col min="1" max="1" width="5.88671875" style="3" bestFit="1" customWidth="1"/>
    <col min="2" max="2" width="5.6640625" style="3" bestFit="1" customWidth="1"/>
    <col min="3" max="3" width="18.88671875" style="3" bestFit="1" customWidth="1"/>
    <col min="4" max="4" width="22.6640625" style="3" bestFit="1" customWidth="1"/>
    <col min="5" max="5" width="20.44140625" style="3" customWidth="1"/>
    <col min="6" max="6" width="13.88671875" style="3" customWidth="1"/>
    <col min="7" max="7" width="5" style="3" bestFit="1" customWidth="1"/>
    <col min="8" max="8" width="4" style="3" bestFit="1" customWidth="1"/>
    <col min="9" max="10" width="13.33203125" style="3" bestFit="1" customWidth="1"/>
    <col min="11" max="11" width="16.5546875" style="3" bestFit="1" customWidth="1"/>
    <col min="12" max="12" width="9.109375" style="3"/>
    <col min="13" max="13" width="14" style="12" bestFit="1" customWidth="1"/>
    <col min="14" max="14" width="11.5546875" style="3" customWidth="1"/>
    <col min="15" max="15" width="11.33203125" style="3" bestFit="1" customWidth="1"/>
    <col min="16" max="16" width="10.44140625" style="3" bestFit="1" customWidth="1"/>
    <col min="17" max="16384" width="9.109375" style="3"/>
  </cols>
  <sheetData>
    <row r="1" spans="1:15" ht="27.6" x14ac:dyDescent="0.3">
      <c r="A1" s="1" t="s">
        <v>0</v>
      </c>
      <c r="B1" s="2" t="s">
        <v>48</v>
      </c>
      <c r="C1" s="2" t="s">
        <v>143</v>
      </c>
      <c r="D1" s="2" t="s">
        <v>1</v>
      </c>
      <c r="E1" s="2" t="s">
        <v>147</v>
      </c>
      <c r="F1" s="2" t="s">
        <v>144</v>
      </c>
      <c r="G1" s="2" t="s">
        <v>2</v>
      </c>
      <c r="H1" s="2" t="s">
        <v>55</v>
      </c>
      <c r="I1" s="1" t="s">
        <v>3</v>
      </c>
      <c r="J1" s="1" t="s">
        <v>56</v>
      </c>
      <c r="K1" s="1" t="s">
        <v>4</v>
      </c>
      <c r="L1" s="3" t="s">
        <v>5</v>
      </c>
      <c r="M1" s="3" t="s">
        <v>156</v>
      </c>
      <c r="N1" s="3" t="s">
        <v>83</v>
      </c>
      <c r="O1" s="3" t="s">
        <v>136</v>
      </c>
    </row>
    <row r="2" spans="1:15" ht="96.6" x14ac:dyDescent="0.3">
      <c r="A2" s="4">
        <v>1</v>
      </c>
      <c r="B2" s="4" t="s">
        <v>50</v>
      </c>
      <c r="C2" s="4" t="s">
        <v>145</v>
      </c>
      <c r="D2" s="5" t="s">
        <v>146</v>
      </c>
      <c r="E2" s="16" t="s">
        <v>148</v>
      </c>
      <c r="F2" s="4" t="s">
        <v>149</v>
      </c>
      <c r="G2" s="6" t="s">
        <v>6</v>
      </c>
      <c r="H2" s="4">
        <v>40</v>
      </c>
      <c r="I2" s="7">
        <v>32000</v>
      </c>
      <c r="J2" s="7">
        <f>I2*18%</f>
        <v>5760</v>
      </c>
      <c r="K2" s="8">
        <f t="shared" ref="K2:K4" si="0">H2*(I2+J2)</f>
        <v>1510400</v>
      </c>
      <c r="L2" s="9"/>
      <c r="M2" s="10">
        <v>24752</v>
      </c>
      <c r="N2" s="10">
        <v>93840</v>
      </c>
      <c r="O2" s="3">
        <v>88000</v>
      </c>
    </row>
    <row r="3" spans="1:15" ht="41.4" x14ac:dyDescent="0.3">
      <c r="A3" s="4">
        <v>2</v>
      </c>
      <c r="B3" s="4" t="s">
        <v>50</v>
      </c>
      <c r="C3" s="4" t="s">
        <v>151</v>
      </c>
      <c r="D3" s="5" t="s">
        <v>150</v>
      </c>
      <c r="E3" s="16" t="s">
        <v>152</v>
      </c>
      <c r="F3" s="4" t="s">
        <v>149</v>
      </c>
      <c r="G3" s="6" t="s">
        <v>6</v>
      </c>
      <c r="H3" s="4">
        <v>40</v>
      </c>
      <c r="I3" s="7">
        <v>22000</v>
      </c>
      <c r="J3" s="7">
        <f>I3*18%</f>
        <v>3960</v>
      </c>
      <c r="K3" s="8">
        <f t="shared" si="0"/>
        <v>1038400</v>
      </c>
      <c r="L3" s="9"/>
      <c r="M3" s="10">
        <v>15691</v>
      </c>
      <c r="N3" s="10">
        <v>56040</v>
      </c>
      <c r="O3" s="3">
        <v>50500</v>
      </c>
    </row>
    <row r="4" spans="1:15" ht="82.8" x14ac:dyDescent="0.3">
      <c r="A4" s="4">
        <v>3</v>
      </c>
      <c r="B4" s="4" t="s">
        <v>50</v>
      </c>
      <c r="C4" s="4" t="s">
        <v>154</v>
      </c>
      <c r="D4" s="5" t="s">
        <v>153</v>
      </c>
      <c r="E4" s="16" t="s">
        <v>155</v>
      </c>
      <c r="F4" s="4" t="s">
        <v>149</v>
      </c>
      <c r="G4" s="6" t="s">
        <v>6</v>
      </c>
      <c r="H4" s="4">
        <v>40</v>
      </c>
      <c r="I4" s="7">
        <v>76000</v>
      </c>
      <c r="J4" s="7">
        <f>I4*18%</f>
        <v>13680</v>
      </c>
      <c r="K4" s="8">
        <f t="shared" si="0"/>
        <v>3587200</v>
      </c>
      <c r="L4" s="9"/>
      <c r="M4" s="10">
        <v>56355</v>
      </c>
      <c r="N4" s="10">
        <v>7440</v>
      </c>
      <c r="O4" s="3">
        <v>7200</v>
      </c>
    </row>
    <row r="5" spans="1:15" x14ac:dyDescent="0.3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05"/>
    </row>
    <row r="6" spans="1:15" ht="143.1" customHeight="1" x14ac:dyDescent="0.3">
      <c r="A6" s="23" t="s">
        <v>9</v>
      </c>
      <c r="B6" s="106" t="s">
        <v>157</v>
      </c>
      <c r="C6" s="106"/>
      <c r="D6" s="106"/>
      <c r="E6" s="106"/>
      <c r="F6" s="106"/>
      <c r="G6" s="106"/>
      <c r="H6" s="106"/>
      <c r="I6" s="106"/>
      <c r="J6" s="106"/>
      <c r="K6" s="106"/>
      <c r="L6" s="12"/>
      <c r="M6" s="3"/>
    </row>
  </sheetData>
  <mergeCells count="2">
    <mergeCell ref="A5:K5"/>
    <mergeCell ref="B6:K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5"/>
  <sheetViews>
    <sheetView workbookViewId="0">
      <selection activeCell="G2" sqref="G2"/>
    </sheetView>
  </sheetViews>
  <sheetFormatPr defaultColWidth="9.109375" defaultRowHeight="13.8" x14ac:dyDescent="0.3"/>
  <cols>
    <col min="1" max="1" width="5.88671875" style="3" bestFit="1" customWidth="1"/>
    <col min="2" max="2" width="5.6640625" style="3" bestFit="1" customWidth="1"/>
    <col min="3" max="3" width="8.5546875" style="3" bestFit="1" customWidth="1"/>
    <col min="4" max="4" width="30.109375" style="3" customWidth="1"/>
    <col min="5" max="5" width="5" style="3" bestFit="1" customWidth="1"/>
    <col min="6" max="6" width="4" style="3" bestFit="1" customWidth="1"/>
    <col min="7" max="8" width="13.33203125" style="3" bestFit="1" customWidth="1"/>
    <col min="9" max="9" width="16.5546875" style="3" bestFit="1" customWidth="1"/>
    <col min="10" max="10" width="9.109375" style="3"/>
    <col min="11" max="11" width="14" style="12" bestFit="1" customWidth="1"/>
    <col min="12" max="12" width="19.5546875" style="3" customWidth="1"/>
    <col min="13" max="13" width="11.33203125" style="22" bestFit="1" customWidth="1"/>
    <col min="14" max="14" width="10.44140625" style="22" bestFit="1" customWidth="1"/>
    <col min="15" max="16384" width="9.109375" style="3"/>
  </cols>
  <sheetData>
    <row r="1" spans="1:13" ht="27.6" x14ac:dyDescent="0.3">
      <c r="A1" s="1" t="s">
        <v>0</v>
      </c>
      <c r="B1" s="2" t="s">
        <v>48</v>
      </c>
      <c r="C1" s="2" t="s">
        <v>49</v>
      </c>
      <c r="D1" s="2" t="s">
        <v>1</v>
      </c>
      <c r="E1" s="2" t="s">
        <v>2</v>
      </c>
      <c r="F1" s="2" t="s">
        <v>55</v>
      </c>
      <c r="G1" s="1" t="s">
        <v>3</v>
      </c>
      <c r="H1" s="1" t="s">
        <v>56</v>
      </c>
      <c r="I1" s="1" t="s">
        <v>4</v>
      </c>
      <c r="J1" s="3" t="s">
        <v>5</v>
      </c>
      <c r="K1" s="3" t="s">
        <v>86</v>
      </c>
    </row>
    <row r="2" spans="1:13" x14ac:dyDescent="0.3">
      <c r="A2" s="4">
        <v>1</v>
      </c>
      <c r="B2" s="4" t="s">
        <v>50</v>
      </c>
      <c r="C2" s="4" t="s">
        <v>50</v>
      </c>
      <c r="D2" s="5" t="s">
        <v>158</v>
      </c>
      <c r="E2" s="6" t="s">
        <v>6</v>
      </c>
      <c r="F2" s="4">
        <v>2</v>
      </c>
      <c r="G2" s="7">
        <f>J2*88*1.32</f>
        <v>243936</v>
      </c>
      <c r="H2" s="7">
        <f>G2*18%</f>
        <v>43908.479999999996</v>
      </c>
      <c r="I2" s="8">
        <f>F2*(G2+H2)</f>
        <v>575688.95999999996</v>
      </c>
      <c r="J2" s="9">
        <v>2100</v>
      </c>
      <c r="K2" s="10">
        <v>1900</v>
      </c>
      <c r="L2" s="10"/>
    </row>
    <row r="3" spans="1:13" x14ac:dyDescent="0.3">
      <c r="A3" s="4">
        <v>2</v>
      </c>
      <c r="B3" s="4" t="s">
        <v>50</v>
      </c>
      <c r="C3" s="4" t="s">
        <v>50</v>
      </c>
      <c r="D3" s="5" t="s">
        <v>159</v>
      </c>
      <c r="E3" s="6" t="s">
        <v>6</v>
      </c>
      <c r="F3" s="4">
        <v>2</v>
      </c>
      <c r="G3" s="7">
        <f>J3*88*1.32</f>
        <v>209088</v>
      </c>
      <c r="H3" s="7">
        <f t="shared" ref="H3" si="0">G3*18%</f>
        <v>37635.839999999997</v>
      </c>
      <c r="I3" s="8">
        <f t="shared" ref="I3" si="1">F3*(G3+H3)</f>
        <v>493447.67999999999</v>
      </c>
      <c r="J3" s="9">
        <v>1800</v>
      </c>
      <c r="K3" s="10">
        <v>1468</v>
      </c>
      <c r="L3" s="10"/>
    </row>
    <row r="4" spans="1:13" x14ac:dyDescent="0.3">
      <c r="A4" s="93"/>
      <c r="B4" s="94"/>
      <c r="C4" s="94"/>
      <c r="D4" s="94"/>
      <c r="E4" s="94"/>
      <c r="F4" s="94"/>
      <c r="G4" s="94"/>
      <c r="H4" s="94"/>
      <c r="I4" s="95"/>
    </row>
    <row r="5" spans="1:13" ht="157.5" customHeight="1" x14ac:dyDescent="0.3">
      <c r="A5" s="13" t="s">
        <v>9</v>
      </c>
      <c r="B5" s="84" t="s">
        <v>157</v>
      </c>
      <c r="C5" s="85"/>
      <c r="D5" s="85"/>
      <c r="E5" s="85"/>
      <c r="F5" s="85"/>
      <c r="G5" s="85"/>
      <c r="H5" s="85"/>
      <c r="I5" s="86"/>
      <c r="J5" s="25"/>
      <c r="K5" s="25"/>
      <c r="M5" s="24"/>
    </row>
  </sheetData>
  <mergeCells count="2">
    <mergeCell ref="A4:I4"/>
    <mergeCell ref="B5:I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3"/>
  <sheetViews>
    <sheetView workbookViewId="0">
      <selection activeCell="C7" sqref="C7"/>
    </sheetView>
  </sheetViews>
  <sheetFormatPr defaultColWidth="9.109375" defaultRowHeight="13.8" x14ac:dyDescent="0.3"/>
  <cols>
    <col min="1" max="1" width="5.88671875" style="3" bestFit="1" customWidth="1"/>
    <col min="2" max="2" width="5.6640625" style="3" bestFit="1" customWidth="1"/>
    <col min="3" max="3" width="15.109375" style="3" customWidth="1"/>
    <col min="4" max="4" width="30.109375" style="3" customWidth="1"/>
    <col min="5" max="5" width="5" style="3" bestFit="1" customWidth="1"/>
    <col min="6" max="6" width="4" style="3" bestFit="1" customWidth="1"/>
    <col min="7" max="8" width="13.33203125" style="3" bestFit="1" customWidth="1"/>
    <col min="9" max="9" width="16.5546875" style="3" bestFit="1" customWidth="1"/>
    <col min="10" max="10" width="9.109375" style="3"/>
    <col min="11" max="11" width="14" style="12" bestFit="1" customWidth="1"/>
    <col min="12" max="12" width="19.5546875" style="3" customWidth="1"/>
    <col min="13" max="13" width="11.33203125" style="22" bestFit="1" customWidth="1"/>
    <col min="14" max="14" width="10.44140625" style="22" bestFit="1" customWidth="1"/>
    <col min="15" max="16384" width="9.109375" style="3"/>
  </cols>
  <sheetData>
    <row r="1" spans="1:13" s="22" customFormat="1" ht="27.6" x14ac:dyDescent="0.3">
      <c r="A1" s="1" t="s">
        <v>0</v>
      </c>
      <c r="B1" s="2" t="s">
        <v>48</v>
      </c>
      <c r="C1" s="2" t="s">
        <v>143</v>
      </c>
      <c r="D1" s="2" t="s">
        <v>1</v>
      </c>
      <c r="E1" s="2" t="s">
        <v>2</v>
      </c>
      <c r="F1" s="2" t="s">
        <v>55</v>
      </c>
      <c r="G1" s="1" t="s">
        <v>3</v>
      </c>
      <c r="H1" s="1" t="s">
        <v>56</v>
      </c>
      <c r="I1" s="1" t="s">
        <v>4</v>
      </c>
      <c r="J1" s="3" t="s">
        <v>5</v>
      </c>
      <c r="K1" s="3" t="s">
        <v>86</v>
      </c>
      <c r="L1" s="3"/>
    </row>
    <row r="2" spans="1:13" s="22" customFormat="1" x14ac:dyDescent="0.3">
      <c r="A2" s="4">
        <v>1</v>
      </c>
      <c r="B2" s="4" t="s">
        <v>50</v>
      </c>
      <c r="C2" s="4" t="s">
        <v>160</v>
      </c>
      <c r="D2" s="5" t="s">
        <v>161</v>
      </c>
      <c r="E2" s="6" t="s">
        <v>6</v>
      </c>
      <c r="F2" s="4">
        <v>30</v>
      </c>
      <c r="G2" s="7">
        <f t="shared" ref="G2:G4" si="0">J2*88*1.32</f>
        <v>871.2</v>
      </c>
      <c r="H2" s="7">
        <f t="shared" ref="H2:H7" si="1">G2*18%</f>
        <v>156.816</v>
      </c>
      <c r="I2" s="8">
        <f t="shared" ref="I2:I7" si="2">F2*(G2+H2)</f>
        <v>30840.480000000003</v>
      </c>
      <c r="J2" s="9">
        <v>7.5</v>
      </c>
      <c r="K2" s="10">
        <v>1.8</v>
      </c>
      <c r="L2" s="10"/>
    </row>
    <row r="3" spans="1:13" s="22" customFormat="1" x14ac:dyDescent="0.3">
      <c r="A3" s="4">
        <v>2</v>
      </c>
      <c r="B3" s="4" t="s">
        <v>50</v>
      </c>
      <c r="C3" s="4" t="s">
        <v>162</v>
      </c>
      <c r="D3" s="5" t="s">
        <v>161</v>
      </c>
      <c r="E3" s="6" t="s">
        <v>6</v>
      </c>
      <c r="F3" s="4">
        <v>30</v>
      </c>
      <c r="G3" s="7">
        <f t="shared" si="0"/>
        <v>871.2</v>
      </c>
      <c r="H3" s="7">
        <f t="shared" si="1"/>
        <v>156.816</v>
      </c>
      <c r="I3" s="8">
        <f t="shared" si="2"/>
        <v>30840.480000000003</v>
      </c>
      <c r="J3" s="9">
        <v>7.5</v>
      </c>
      <c r="K3" s="10">
        <v>1.8</v>
      </c>
      <c r="L3" s="10"/>
    </row>
    <row r="4" spans="1:13" s="22" customFormat="1" x14ac:dyDescent="0.3">
      <c r="A4" s="4">
        <v>3</v>
      </c>
      <c r="B4" s="4" t="s">
        <v>50</v>
      </c>
      <c r="C4" s="4" t="s">
        <v>163</v>
      </c>
      <c r="D4" s="5" t="s">
        <v>164</v>
      </c>
      <c r="E4" s="6" t="s">
        <v>6</v>
      </c>
      <c r="F4" s="4">
        <v>10</v>
      </c>
      <c r="G4" s="7">
        <f t="shared" si="0"/>
        <v>1568.16</v>
      </c>
      <c r="H4" s="7">
        <f t="shared" si="1"/>
        <v>282.2688</v>
      </c>
      <c r="I4" s="8">
        <f t="shared" si="2"/>
        <v>18504.288</v>
      </c>
      <c r="J4" s="9">
        <v>13.5</v>
      </c>
      <c r="K4" s="10">
        <v>1.8</v>
      </c>
      <c r="L4" s="10"/>
    </row>
    <row r="5" spans="1:13" s="22" customFormat="1" x14ac:dyDescent="0.3">
      <c r="A5" s="4">
        <v>4</v>
      </c>
      <c r="B5" s="4" t="s">
        <v>50</v>
      </c>
      <c r="C5" s="4">
        <v>2105</v>
      </c>
      <c r="D5" s="5" t="s">
        <v>158</v>
      </c>
      <c r="E5" s="6" t="s">
        <v>6</v>
      </c>
      <c r="F5" s="4">
        <v>4</v>
      </c>
      <c r="G5" s="7">
        <f>J5*88*1.32</f>
        <v>243936</v>
      </c>
      <c r="H5" s="7">
        <f t="shared" si="1"/>
        <v>43908.479999999996</v>
      </c>
      <c r="I5" s="8">
        <f t="shared" si="2"/>
        <v>1151377.9199999999</v>
      </c>
      <c r="J5" s="9">
        <v>2100</v>
      </c>
      <c r="K5" s="10">
        <v>1900</v>
      </c>
      <c r="L5" s="10"/>
    </row>
    <row r="6" spans="1:13" s="22" customFormat="1" x14ac:dyDescent="0.3">
      <c r="A6" s="4">
        <v>5</v>
      </c>
      <c r="B6" s="4" t="s">
        <v>50</v>
      </c>
      <c r="C6" s="4" t="s">
        <v>165</v>
      </c>
      <c r="D6" s="5" t="s">
        <v>159</v>
      </c>
      <c r="E6" s="6" t="s">
        <v>6</v>
      </c>
      <c r="F6" s="4">
        <v>4</v>
      </c>
      <c r="G6" s="7">
        <f>J6*88*1.32</f>
        <v>209088</v>
      </c>
      <c r="H6" s="7">
        <f t="shared" si="1"/>
        <v>37635.839999999997</v>
      </c>
      <c r="I6" s="8">
        <f t="shared" si="2"/>
        <v>986895.35999999999</v>
      </c>
      <c r="J6" s="9">
        <v>1800</v>
      </c>
      <c r="K6" s="10">
        <v>1468</v>
      </c>
      <c r="L6" s="10"/>
    </row>
    <row r="7" spans="1:13" s="22" customFormat="1" x14ac:dyDescent="0.3">
      <c r="A7" s="4">
        <v>6</v>
      </c>
      <c r="B7" s="4" t="s">
        <v>50</v>
      </c>
      <c r="C7" s="4" t="s">
        <v>166</v>
      </c>
      <c r="D7" s="5" t="s">
        <v>167</v>
      </c>
      <c r="E7" s="6" t="s">
        <v>6</v>
      </c>
      <c r="F7" s="4">
        <v>18</v>
      </c>
      <c r="G7" s="7">
        <v>15000</v>
      </c>
      <c r="H7" s="7">
        <f t="shared" si="1"/>
        <v>2700</v>
      </c>
      <c r="I7" s="8">
        <f t="shared" si="2"/>
        <v>318600</v>
      </c>
      <c r="J7" s="9"/>
      <c r="K7" s="10"/>
      <c r="L7" s="10"/>
    </row>
    <row r="8" spans="1:13" s="22" customFormat="1" ht="82.8" x14ac:dyDescent="0.3">
      <c r="A8" s="4">
        <v>7</v>
      </c>
      <c r="B8" s="4" t="s">
        <v>50</v>
      </c>
      <c r="C8" s="4" t="s">
        <v>50</v>
      </c>
      <c r="D8" s="5" t="s">
        <v>184</v>
      </c>
      <c r="E8" s="6" t="s">
        <v>6</v>
      </c>
      <c r="F8" s="4">
        <v>20</v>
      </c>
      <c r="G8" s="7">
        <f>J8*88*1.34</f>
        <v>17688</v>
      </c>
      <c r="H8" s="7">
        <f>G8*18%</f>
        <v>3183.8399999999997</v>
      </c>
      <c r="I8" s="8">
        <f>F8*(G8+H8)</f>
        <v>417436.8</v>
      </c>
      <c r="J8" s="9">
        <v>150</v>
      </c>
      <c r="K8" s="10">
        <v>105</v>
      </c>
      <c r="L8" s="10"/>
    </row>
    <row r="9" spans="1:13" s="22" customFormat="1" x14ac:dyDescent="0.3">
      <c r="A9" s="4">
        <v>8</v>
      </c>
      <c r="B9" s="4" t="s">
        <v>50</v>
      </c>
      <c r="C9" s="4" t="s">
        <v>186</v>
      </c>
      <c r="D9" s="5" t="s">
        <v>185</v>
      </c>
      <c r="E9" s="6" t="s">
        <v>6</v>
      </c>
      <c r="F9" s="4">
        <v>10</v>
      </c>
      <c r="G9" s="7">
        <v>4500</v>
      </c>
      <c r="H9" s="7">
        <f t="shared" ref="H9" si="3">G9*18%</f>
        <v>810</v>
      </c>
      <c r="I9" s="8">
        <f t="shared" ref="I9" si="4">F9*(G9+H9)</f>
        <v>53100</v>
      </c>
      <c r="J9" s="9"/>
      <c r="K9" s="10"/>
      <c r="L9" s="10"/>
    </row>
    <row r="10" spans="1:13" s="22" customFormat="1" x14ac:dyDescent="0.3">
      <c r="A10" s="4">
        <v>9</v>
      </c>
      <c r="B10" s="4" t="s">
        <v>50</v>
      </c>
      <c r="C10" s="4" t="s">
        <v>187</v>
      </c>
      <c r="D10" s="5" t="s">
        <v>190</v>
      </c>
      <c r="E10" s="6" t="s">
        <v>6</v>
      </c>
      <c r="F10" s="4">
        <v>30</v>
      </c>
      <c r="G10" s="7">
        <v>1550</v>
      </c>
      <c r="H10" s="7">
        <f t="shared" ref="H10:H11" si="5">G10*18%</f>
        <v>279</v>
      </c>
      <c r="I10" s="8">
        <f t="shared" ref="I10:I11" si="6">F10*(G10+H10)</f>
        <v>54870</v>
      </c>
      <c r="J10" s="9"/>
      <c r="K10" s="10"/>
      <c r="L10" s="10"/>
    </row>
    <row r="11" spans="1:13" s="22" customFormat="1" x14ac:dyDescent="0.3">
      <c r="A11" s="4">
        <v>10</v>
      </c>
      <c r="B11" s="4" t="s">
        <v>50</v>
      </c>
      <c r="C11" s="4" t="s">
        <v>188</v>
      </c>
      <c r="D11" s="5" t="s">
        <v>191</v>
      </c>
      <c r="E11" s="6" t="s">
        <v>6</v>
      </c>
      <c r="F11" s="4">
        <v>30</v>
      </c>
      <c r="G11" s="7">
        <v>850</v>
      </c>
      <c r="H11" s="7">
        <f t="shared" si="5"/>
        <v>153</v>
      </c>
      <c r="I11" s="8">
        <f t="shared" si="6"/>
        <v>30090</v>
      </c>
      <c r="J11" s="9"/>
      <c r="K11" s="10"/>
      <c r="L11" s="10"/>
    </row>
    <row r="12" spans="1:13" s="22" customFormat="1" x14ac:dyDescent="0.3">
      <c r="A12" s="93"/>
      <c r="B12" s="94"/>
      <c r="C12" s="94"/>
      <c r="D12" s="94"/>
      <c r="E12" s="94"/>
      <c r="F12" s="94"/>
      <c r="G12" s="94"/>
      <c r="H12" s="94"/>
      <c r="I12" s="95"/>
      <c r="J12" s="3"/>
      <c r="K12" s="12"/>
      <c r="L12" s="3"/>
    </row>
    <row r="13" spans="1:13" s="22" customFormat="1" ht="157.5" customHeight="1" x14ac:dyDescent="0.3">
      <c r="A13" s="13" t="s">
        <v>9</v>
      </c>
      <c r="B13" s="84" t="s">
        <v>157</v>
      </c>
      <c r="C13" s="85"/>
      <c r="D13" s="85"/>
      <c r="E13" s="85"/>
      <c r="F13" s="85"/>
      <c r="G13" s="85"/>
      <c r="H13" s="85"/>
      <c r="I13" s="86"/>
      <c r="J13" s="25"/>
      <c r="K13" s="25"/>
      <c r="L13" s="3"/>
      <c r="M13" s="24"/>
    </row>
  </sheetData>
  <mergeCells count="2">
    <mergeCell ref="A12:I12"/>
    <mergeCell ref="B13:I1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filterMode="1"/>
  <dimension ref="A1:O11"/>
  <sheetViews>
    <sheetView workbookViewId="0">
      <selection activeCell="D6" sqref="A1:O11"/>
    </sheetView>
  </sheetViews>
  <sheetFormatPr defaultColWidth="9.109375" defaultRowHeight="13.8" x14ac:dyDescent="0.3"/>
  <cols>
    <col min="1" max="1" width="5.88671875" style="3" bestFit="1" customWidth="1"/>
    <col min="2" max="2" width="10.33203125" style="3" bestFit="1" customWidth="1"/>
    <col min="3" max="3" width="26.33203125" style="3" bestFit="1" customWidth="1"/>
    <col min="4" max="4" width="30.109375" style="3" customWidth="1"/>
    <col min="5" max="5" width="5" style="3" bestFit="1" customWidth="1"/>
    <col min="6" max="6" width="4" style="3" bestFit="1" customWidth="1"/>
    <col min="7" max="8" width="13.33203125" style="3" bestFit="1" customWidth="1"/>
    <col min="9" max="9" width="16.5546875" style="3" bestFit="1" customWidth="1"/>
    <col min="10" max="11" width="9.109375" style="3"/>
    <col min="12" max="12" width="14" style="12" bestFit="1" customWidth="1"/>
    <col min="13" max="13" width="19.5546875" style="3" customWidth="1"/>
    <col min="14" max="14" width="11.33203125" style="22" bestFit="1" customWidth="1"/>
    <col min="15" max="15" width="10.44140625" style="22" bestFit="1" customWidth="1"/>
    <col min="16" max="16384" width="9.109375" style="3"/>
  </cols>
  <sheetData>
    <row r="1" spans="1:14" s="22" customFormat="1" ht="27.6" x14ac:dyDescent="0.3">
      <c r="A1" s="1" t="s">
        <v>0</v>
      </c>
      <c r="B1" s="2" t="s">
        <v>144</v>
      </c>
      <c r="C1" s="2" t="s">
        <v>143</v>
      </c>
      <c r="D1" s="2" t="s">
        <v>1</v>
      </c>
      <c r="E1" s="2" t="s">
        <v>2</v>
      </c>
      <c r="F1" s="2" t="s">
        <v>55</v>
      </c>
      <c r="G1" s="1" t="s">
        <v>3</v>
      </c>
      <c r="H1" s="1" t="s">
        <v>56</v>
      </c>
      <c r="I1" s="1" t="s">
        <v>4</v>
      </c>
      <c r="J1" s="3" t="s">
        <v>5</v>
      </c>
      <c r="K1" s="9" t="s">
        <v>86</v>
      </c>
      <c r="L1" s="3" t="s">
        <v>60</v>
      </c>
      <c r="M1" s="3" t="s">
        <v>176</v>
      </c>
    </row>
    <row r="2" spans="1:14" s="22" customFormat="1" x14ac:dyDescent="0.3">
      <c r="A2" s="4">
        <v>1</v>
      </c>
      <c r="B2" s="26" t="s">
        <v>178</v>
      </c>
      <c r="C2" s="4" t="s">
        <v>168</v>
      </c>
      <c r="D2" s="5" t="s">
        <v>177</v>
      </c>
      <c r="E2" s="6" t="s">
        <v>6</v>
      </c>
      <c r="F2" s="4">
        <v>8</v>
      </c>
      <c r="G2" s="7">
        <f t="shared" ref="G2:G4" si="0">J2*88*1.32</f>
        <v>20908.8</v>
      </c>
      <c r="H2" s="7">
        <f t="shared" ref="H2:H7" si="1">G2*18%</f>
        <v>3763.5839999999998</v>
      </c>
      <c r="I2" s="8">
        <f t="shared" ref="I2:I7" si="2">F2*(G2+H2)</f>
        <v>197379.07199999999</v>
      </c>
      <c r="J2" s="9">
        <v>180</v>
      </c>
      <c r="K2" s="9">
        <f>F2*L2</f>
        <v>1240</v>
      </c>
      <c r="L2" s="10">
        <v>155</v>
      </c>
      <c r="M2" s="10">
        <v>78</v>
      </c>
    </row>
    <row r="3" spans="1:14" s="22" customFormat="1" x14ac:dyDescent="0.3">
      <c r="A3" s="4">
        <v>2</v>
      </c>
      <c r="B3" s="26" t="s">
        <v>179</v>
      </c>
      <c r="C3" s="4" t="s">
        <v>169</v>
      </c>
      <c r="D3" s="5" t="s">
        <v>170</v>
      </c>
      <c r="E3" s="6" t="s">
        <v>6</v>
      </c>
      <c r="F3" s="4">
        <v>20</v>
      </c>
      <c r="G3" s="7">
        <f t="shared" si="0"/>
        <v>55756.800000000003</v>
      </c>
      <c r="H3" s="7">
        <f t="shared" si="1"/>
        <v>10036.224</v>
      </c>
      <c r="I3" s="8">
        <f t="shared" si="2"/>
        <v>1315860.48</v>
      </c>
      <c r="J3" s="9">
        <v>480</v>
      </c>
      <c r="K3" s="9"/>
      <c r="L3" s="10">
        <v>104</v>
      </c>
      <c r="M3" s="10"/>
    </row>
    <row r="4" spans="1:14" s="22" customFormat="1" x14ac:dyDescent="0.3">
      <c r="A4" s="4">
        <v>3</v>
      </c>
      <c r="B4" s="26" t="s">
        <v>178</v>
      </c>
      <c r="C4" s="4" t="s">
        <v>181</v>
      </c>
      <c r="D4" s="5" t="s">
        <v>177</v>
      </c>
      <c r="E4" s="6" t="s">
        <v>6</v>
      </c>
      <c r="F4" s="4">
        <v>8</v>
      </c>
      <c r="G4" s="7">
        <f t="shared" si="0"/>
        <v>20908.8</v>
      </c>
      <c r="H4" s="7">
        <f t="shared" si="1"/>
        <v>3763.5839999999998</v>
      </c>
      <c r="I4" s="8">
        <f t="shared" si="2"/>
        <v>197379.07199999999</v>
      </c>
      <c r="J4" s="9">
        <v>180</v>
      </c>
      <c r="K4" s="9"/>
      <c r="L4" s="10">
        <v>140</v>
      </c>
      <c r="M4" s="10"/>
    </row>
    <row r="5" spans="1:14" s="22" customFormat="1" hidden="1" x14ac:dyDescent="0.3">
      <c r="A5" s="4">
        <v>4</v>
      </c>
      <c r="B5" s="26" t="s">
        <v>178</v>
      </c>
      <c r="C5" s="4" t="s">
        <v>171</v>
      </c>
      <c r="D5" s="5" t="s">
        <v>177</v>
      </c>
      <c r="E5" s="6" t="s">
        <v>6</v>
      </c>
      <c r="F5" s="4"/>
      <c r="G5" s="7">
        <f>J5*88*1.32</f>
        <v>20908.8</v>
      </c>
      <c r="H5" s="7">
        <f t="shared" si="1"/>
        <v>3763.5839999999998</v>
      </c>
      <c r="I5" s="8">
        <f t="shared" si="2"/>
        <v>0</v>
      </c>
      <c r="J5" s="9">
        <v>180</v>
      </c>
      <c r="K5" s="9"/>
      <c r="L5" s="10"/>
      <c r="M5" s="10">
        <v>78</v>
      </c>
    </row>
    <row r="6" spans="1:14" s="22" customFormat="1" x14ac:dyDescent="0.3">
      <c r="A6" s="4">
        <v>5</v>
      </c>
      <c r="B6" s="26" t="s">
        <v>178</v>
      </c>
      <c r="C6" s="4" t="s">
        <v>172</v>
      </c>
      <c r="D6" s="5" t="s">
        <v>173</v>
      </c>
      <c r="E6" s="6" t="s">
        <v>6</v>
      </c>
      <c r="F6" s="4">
        <v>5</v>
      </c>
      <c r="G6" s="7">
        <f>J6*88*1.32</f>
        <v>8712</v>
      </c>
      <c r="H6" s="7">
        <f t="shared" si="1"/>
        <v>1568.1599999999999</v>
      </c>
      <c r="I6" s="8">
        <f t="shared" si="2"/>
        <v>51400.800000000003</v>
      </c>
      <c r="J6" s="9">
        <v>75</v>
      </c>
      <c r="K6" s="9"/>
      <c r="L6" s="10">
        <v>107</v>
      </c>
      <c r="M6" s="10">
        <v>27</v>
      </c>
    </row>
    <row r="7" spans="1:14" s="22" customFormat="1" x14ac:dyDescent="0.3">
      <c r="A7" s="4">
        <v>6</v>
      </c>
      <c r="B7" s="26" t="s">
        <v>178</v>
      </c>
      <c r="C7" s="4" t="s">
        <v>174</v>
      </c>
      <c r="D7" s="5" t="s">
        <v>175</v>
      </c>
      <c r="E7" s="6" t="s">
        <v>6</v>
      </c>
      <c r="F7" s="4">
        <v>5</v>
      </c>
      <c r="G7" s="7">
        <f t="shared" ref="G7:G8" si="3">J7*88*1.32</f>
        <v>8712</v>
      </c>
      <c r="H7" s="7">
        <f t="shared" si="1"/>
        <v>1568.1599999999999</v>
      </c>
      <c r="I7" s="8">
        <f t="shared" si="2"/>
        <v>51400.800000000003</v>
      </c>
      <c r="J7" s="9">
        <v>75</v>
      </c>
      <c r="K7" s="9"/>
      <c r="L7" s="10">
        <v>107</v>
      </c>
      <c r="M7" s="10">
        <v>27</v>
      </c>
    </row>
    <row r="8" spans="1:14" s="22" customFormat="1" hidden="1" x14ac:dyDescent="0.3">
      <c r="A8" s="4">
        <v>3</v>
      </c>
      <c r="B8" s="26" t="s">
        <v>178</v>
      </c>
      <c r="C8" s="4" t="s">
        <v>180</v>
      </c>
      <c r="D8" s="5" t="s">
        <v>177</v>
      </c>
      <c r="E8" s="6" t="s">
        <v>6</v>
      </c>
      <c r="F8" s="4"/>
      <c r="G8" s="7">
        <f t="shared" si="3"/>
        <v>20908.8</v>
      </c>
      <c r="H8" s="7">
        <f t="shared" ref="H8" si="4">G8*18%</f>
        <v>3763.5839999999998</v>
      </c>
      <c r="I8" s="8">
        <f t="shared" ref="I8" si="5">F8*(G8+H8)</f>
        <v>0</v>
      </c>
      <c r="J8" s="9">
        <v>180</v>
      </c>
      <c r="K8" s="9"/>
      <c r="L8" s="10"/>
      <c r="M8" s="10"/>
    </row>
    <row r="9" spans="1:14" s="22" customFormat="1" ht="27.6" x14ac:dyDescent="0.3">
      <c r="A9" s="4">
        <v>8</v>
      </c>
      <c r="B9" s="4" t="s">
        <v>179</v>
      </c>
      <c r="C9" s="4">
        <v>6002253</v>
      </c>
      <c r="D9" s="5" t="s">
        <v>189</v>
      </c>
      <c r="E9" s="6" t="s">
        <v>6</v>
      </c>
      <c r="F9" s="4">
        <v>15</v>
      </c>
      <c r="G9" s="7">
        <v>12000</v>
      </c>
      <c r="H9" s="7">
        <f t="shared" ref="H9" si="6">G9*18%</f>
        <v>2160</v>
      </c>
      <c r="I9" s="8">
        <f t="shared" ref="I9" si="7">F9*(G9+H9)</f>
        <v>212400</v>
      </c>
      <c r="J9" s="9"/>
      <c r="K9" s="9">
        <v>75</v>
      </c>
      <c r="L9" s="10">
        <v>95</v>
      </c>
      <c r="M9" s="10"/>
    </row>
    <row r="10" spans="1:14" s="22" customFormat="1" x14ac:dyDescent="0.3">
      <c r="A10" s="93"/>
      <c r="B10" s="94"/>
      <c r="C10" s="94"/>
      <c r="D10" s="94"/>
      <c r="E10" s="94"/>
      <c r="F10" s="94"/>
      <c r="G10" s="94"/>
      <c r="H10" s="94"/>
      <c r="I10" s="95"/>
      <c r="J10" s="3"/>
      <c r="K10" s="3"/>
      <c r="L10" s="12"/>
      <c r="M10" s="3"/>
    </row>
    <row r="11" spans="1:14" s="22" customFormat="1" ht="157.5" customHeight="1" x14ac:dyDescent="0.3">
      <c r="A11" s="13" t="s">
        <v>9</v>
      </c>
      <c r="B11" s="84" t="s">
        <v>157</v>
      </c>
      <c r="C11" s="85"/>
      <c r="D11" s="85"/>
      <c r="E11" s="85"/>
      <c r="F11" s="85"/>
      <c r="G11" s="85"/>
      <c r="H11" s="85"/>
      <c r="I11" s="86"/>
      <c r="J11" s="25"/>
      <c r="K11" s="25"/>
      <c r="L11" s="25"/>
      <c r="M11" s="3"/>
      <c r="N11" s="24"/>
    </row>
  </sheetData>
  <autoFilter ref="A1:O9" xr:uid="{00000000-0009-0000-0000-00000E000000}">
    <filterColumn colId="5">
      <customFilters>
        <customFilter operator="notEqual" val=" "/>
      </customFilters>
    </filterColumn>
  </autoFilter>
  <mergeCells count="2">
    <mergeCell ref="A10:I10"/>
    <mergeCell ref="B11:I11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4"/>
  <sheetViews>
    <sheetView workbookViewId="0">
      <selection activeCell="B4" sqref="B4:I4"/>
    </sheetView>
  </sheetViews>
  <sheetFormatPr defaultColWidth="9.109375" defaultRowHeight="13.8" x14ac:dyDescent="0.3"/>
  <cols>
    <col min="1" max="1" width="5.88671875" style="3" bestFit="1" customWidth="1"/>
    <col min="2" max="2" width="28.33203125" style="3" customWidth="1"/>
    <col min="3" max="3" width="12.33203125" style="3" customWidth="1"/>
    <col min="4" max="4" width="30.109375" style="3" customWidth="1"/>
    <col min="5" max="5" width="5" style="3" bestFit="1" customWidth="1"/>
    <col min="6" max="6" width="4" style="3" bestFit="1" customWidth="1"/>
    <col min="7" max="8" width="13.33203125" style="3" bestFit="1" customWidth="1"/>
    <col min="9" max="9" width="16.5546875" style="3" bestFit="1" customWidth="1"/>
    <col min="10" max="10" width="9.109375" style="3"/>
    <col min="11" max="11" width="14" style="12" bestFit="1" customWidth="1"/>
    <col min="12" max="12" width="19.5546875" style="3" customWidth="1"/>
    <col min="13" max="13" width="11.33203125" style="22" bestFit="1" customWidth="1"/>
    <col min="14" max="14" width="10.44140625" style="22" bestFit="1" customWidth="1"/>
    <col min="15" max="16384" width="9.109375" style="3"/>
  </cols>
  <sheetData>
    <row r="1" spans="1:13" s="22" customFormat="1" ht="27.6" x14ac:dyDescent="0.3">
      <c r="A1" s="27" t="s">
        <v>0</v>
      </c>
      <c r="B1" s="2" t="s">
        <v>144</v>
      </c>
      <c r="C1" s="2" t="s">
        <v>143</v>
      </c>
      <c r="D1" s="2" t="s">
        <v>1</v>
      </c>
      <c r="E1" s="2" t="s">
        <v>2</v>
      </c>
      <c r="F1" s="2" t="s">
        <v>55</v>
      </c>
      <c r="G1" s="27" t="s">
        <v>3</v>
      </c>
      <c r="H1" s="27" t="s">
        <v>56</v>
      </c>
      <c r="I1" s="27" t="s">
        <v>4</v>
      </c>
      <c r="J1" s="3" t="s">
        <v>5</v>
      </c>
      <c r="K1" s="3" t="s">
        <v>60</v>
      </c>
      <c r="L1" s="3" t="s">
        <v>176</v>
      </c>
    </row>
    <row r="2" spans="1:13" s="22" customFormat="1" ht="82.8" x14ac:dyDescent="0.3">
      <c r="A2" s="6">
        <v>1</v>
      </c>
      <c r="B2" s="31" t="s">
        <v>182</v>
      </c>
      <c r="C2" s="6" t="s">
        <v>183</v>
      </c>
      <c r="D2" s="5" t="s">
        <v>215</v>
      </c>
      <c r="E2" s="6" t="s">
        <v>89</v>
      </c>
      <c r="F2" s="6">
        <v>2</v>
      </c>
      <c r="G2" s="28">
        <f>J2*88*1.32</f>
        <v>871200</v>
      </c>
      <c r="H2" s="28">
        <f t="shared" ref="H2" si="0">G2*18%</f>
        <v>156816</v>
      </c>
      <c r="I2" s="29">
        <f t="shared" ref="I2" si="1">F2*(G2+H2)</f>
        <v>2056032</v>
      </c>
      <c r="J2" s="9">
        <v>7500</v>
      </c>
      <c r="K2" s="10">
        <v>6500</v>
      </c>
      <c r="L2" s="10"/>
    </row>
    <row r="3" spans="1:13" s="22" customFormat="1" x14ac:dyDescent="0.3">
      <c r="A3" s="107" t="s">
        <v>213</v>
      </c>
      <c r="B3" s="108"/>
      <c r="C3" s="108"/>
      <c r="D3" s="108"/>
      <c r="E3" s="108"/>
      <c r="F3" s="108"/>
      <c r="G3" s="108"/>
      <c r="H3" s="108"/>
      <c r="I3" s="109"/>
      <c r="J3" s="3"/>
      <c r="K3" s="12"/>
      <c r="L3" s="3"/>
    </row>
    <row r="4" spans="1:13" s="22" customFormat="1" ht="157.5" customHeight="1" x14ac:dyDescent="0.3">
      <c r="A4" s="13" t="s">
        <v>9</v>
      </c>
      <c r="B4" s="84" t="s">
        <v>214</v>
      </c>
      <c r="C4" s="85"/>
      <c r="D4" s="85"/>
      <c r="E4" s="85"/>
      <c r="F4" s="85"/>
      <c r="G4" s="85"/>
      <c r="H4" s="85"/>
      <c r="I4" s="86"/>
      <c r="J4" s="25"/>
      <c r="K4" s="25"/>
      <c r="L4" s="3"/>
      <c r="M4" s="24"/>
    </row>
  </sheetData>
  <mergeCells count="2">
    <mergeCell ref="A3:I3"/>
    <mergeCell ref="B4:I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27"/>
  <sheetViews>
    <sheetView topLeftCell="A17" workbookViewId="0">
      <selection activeCell="B27" sqref="B27:I27"/>
    </sheetView>
  </sheetViews>
  <sheetFormatPr defaultColWidth="9.109375" defaultRowHeight="13.8" x14ac:dyDescent="0.3"/>
  <cols>
    <col min="1" max="1" width="5.88671875" style="3" bestFit="1" customWidth="1"/>
    <col min="2" max="2" width="28.33203125" style="3" customWidth="1"/>
    <col min="3" max="3" width="8.5546875" style="3" bestFit="1" customWidth="1"/>
    <col min="4" max="4" width="30.109375" style="3" customWidth="1"/>
    <col min="5" max="5" width="5" style="3" bestFit="1" customWidth="1"/>
    <col min="6" max="6" width="4" style="3" bestFit="1" customWidth="1"/>
    <col min="7" max="8" width="13.33203125" style="3" bestFit="1" customWidth="1"/>
    <col min="9" max="9" width="16.5546875" style="3" bestFit="1" customWidth="1"/>
    <col min="10" max="10" width="9.109375" style="3"/>
    <col min="11" max="11" width="14" style="12" bestFit="1" customWidth="1"/>
    <col min="12" max="12" width="19.5546875" style="3" customWidth="1"/>
    <col min="13" max="13" width="11.33203125" style="22" bestFit="1" customWidth="1"/>
    <col min="14" max="14" width="10.44140625" style="22" bestFit="1" customWidth="1"/>
    <col min="15" max="15" width="9.109375" style="3"/>
    <col min="16" max="16" width="10.44140625" style="3" bestFit="1" customWidth="1"/>
    <col min="17" max="16384" width="9.109375" style="3"/>
  </cols>
  <sheetData>
    <row r="1" spans="1:17" s="22" customFormat="1" ht="27.6" x14ac:dyDescent="0.3">
      <c r="A1" s="27" t="s">
        <v>0</v>
      </c>
      <c r="B1" s="2" t="s">
        <v>192</v>
      </c>
      <c r="C1" s="2" t="s">
        <v>193</v>
      </c>
      <c r="D1" s="2" t="s">
        <v>194</v>
      </c>
      <c r="E1" s="2" t="s">
        <v>2</v>
      </c>
      <c r="F1" s="2" t="s">
        <v>55</v>
      </c>
      <c r="G1" s="27" t="s">
        <v>3</v>
      </c>
      <c r="H1" s="27" t="s">
        <v>56</v>
      </c>
      <c r="I1" s="27" t="s">
        <v>4</v>
      </c>
      <c r="J1" s="3" t="s">
        <v>5</v>
      </c>
      <c r="K1" s="3" t="s">
        <v>47</v>
      </c>
      <c r="L1" s="3" t="s">
        <v>86</v>
      </c>
      <c r="N1" s="22" t="s">
        <v>216</v>
      </c>
      <c r="O1" s="22" t="s">
        <v>217</v>
      </c>
      <c r="P1" s="22" t="s">
        <v>218</v>
      </c>
      <c r="Q1" s="22" t="s">
        <v>217</v>
      </c>
    </row>
    <row r="2" spans="1:17" s="22" customFormat="1" x14ac:dyDescent="0.3">
      <c r="A2" s="6">
        <v>1</v>
      </c>
      <c r="B2" s="110" t="s">
        <v>212</v>
      </c>
      <c r="C2" s="6">
        <v>1</v>
      </c>
      <c r="D2" s="30" t="s">
        <v>195</v>
      </c>
      <c r="E2" s="6" t="s">
        <v>89</v>
      </c>
      <c r="F2" s="6">
        <v>12</v>
      </c>
      <c r="G2" s="28">
        <f t="shared" ref="G2:G25" si="0">J2*88*1.35</f>
        <v>1140.48</v>
      </c>
      <c r="H2" s="28">
        <f t="shared" ref="H2:H25" si="1">G2*18%</f>
        <v>205.28639999999999</v>
      </c>
      <c r="I2" s="29">
        <f t="shared" ref="I2:I25" si="2">F2*(G2+H2)</f>
        <v>16149.1968</v>
      </c>
      <c r="J2" s="9">
        <f>K2*1.2</f>
        <v>9.6</v>
      </c>
      <c r="K2" s="10">
        <v>8</v>
      </c>
      <c r="L2" s="10">
        <v>15</v>
      </c>
      <c r="M2" s="22">
        <v>32</v>
      </c>
      <c r="N2" s="22">
        <v>1500</v>
      </c>
      <c r="O2" s="22">
        <v>36</v>
      </c>
      <c r="P2" s="22">
        <v>5980</v>
      </c>
      <c r="Q2" s="22">
        <v>31.25</v>
      </c>
    </row>
    <row r="3" spans="1:17" s="22" customFormat="1" x14ac:dyDescent="0.3">
      <c r="A3" s="6">
        <v>2</v>
      </c>
      <c r="B3" s="111"/>
      <c r="C3" s="6">
        <v>7</v>
      </c>
      <c r="D3" s="30" t="s">
        <v>196</v>
      </c>
      <c r="E3" s="6" t="s">
        <v>89</v>
      </c>
      <c r="F3" s="6">
        <v>12</v>
      </c>
      <c r="G3" s="28">
        <f t="shared" si="0"/>
        <v>6415.2000000000007</v>
      </c>
      <c r="H3" s="28">
        <f t="shared" si="1"/>
        <v>1154.7360000000001</v>
      </c>
      <c r="I3" s="29">
        <f t="shared" si="2"/>
        <v>90839.232000000004</v>
      </c>
      <c r="J3" s="9">
        <f t="shared" ref="J3:J25" si="3">K3*1.2</f>
        <v>54</v>
      </c>
      <c r="K3" s="32">
        <v>45</v>
      </c>
      <c r="L3" s="10">
        <v>8.5</v>
      </c>
      <c r="M3" s="22">
        <v>17</v>
      </c>
      <c r="N3" s="22">
        <v>8500</v>
      </c>
      <c r="O3" s="22">
        <v>20</v>
      </c>
      <c r="P3" s="22">
        <v>3250</v>
      </c>
      <c r="Q3" s="22">
        <v>17</v>
      </c>
    </row>
    <row r="4" spans="1:17" s="22" customFormat="1" x14ac:dyDescent="0.3">
      <c r="A4" s="6">
        <v>3</v>
      </c>
      <c r="B4" s="111"/>
      <c r="C4" s="6">
        <v>11</v>
      </c>
      <c r="D4" s="30" t="s">
        <v>197</v>
      </c>
      <c r="E4" s="6" t="s">
        <v>89</v>
      </c>
      <c r="F4" s="6">
        <v>4</v>
      </c>
      <c r="G4" s="28">
        <f t="shared" si="0"/>
        <v>277992</v>
      </c>
      <c r="H4" s="28">
        <f t="shared" si="1"/>
        <v>50038.559999999998</v>
      </c>
      <c r="I4" s="29">
        <f t="shared" si="2"/>
        <v>1312122.24</v>
      </c>
      <c r="J4" s="9">
        <f t="shared" si="3"/>
        <v>2340</v>
      </c>
      <c r="K4" s="10">
        <v>1950</v>
      </c>
      <c r="L4" s="10">
        <v>3550</v>
      </c>
      <c r="M4" s="22">
        <v>3122</v>
      </c>
      <c r="N4" s="22">
        <v>340000</v>
      </c>
      <c r="O4" s="22">
        <v>3587</v>
      </c>
      <c r="P4" s="22">
        <v>611000</v>
      </c>
      <c r="Q4" s="22">
        <v>3085</v>
      </c>
    </row>
    <row r="5" spans="1:17" s="22" customFormat="1" x14ac:dyDescent="0.3">
      <c r="A5" s="6">
        <v>4</v>
      </c>
      <c r="B5" s="111"/>
      <c r="C5" s="6">
        <v>14</v>
      </c>
      <c r="D5" s="30" t="s">
        <v>198</v>
      </c>
      <c r="E5" s="6" t="s">
        <v>89</v>
      </c>
      <c r="F5" s="6">
        <v>128</v>
      </c>
      <c r="G5" s="28">
        <f t="shared" si="0"/>
        <v>4989.6000000000004</v>
      </c>
      <c r="H5" s="28">
        <f t="shared" si="1"/>
        <v>898.12800000000004</v>
      </c>
      <c r="I5" s="29">
        <f t="shared" si="2"/>
        <v>753629.18400000001</v>
      </c>
      <c r="J5" s="9">
        <f t="shared" si="3"/>
        <v>42</v>
      </c>
      <c r="K5" s="10">
        <v>35</v>
      </c>
      <c r="L5" s="10">
        <v>64</v>
      </c>
      <c r="M5" s="22">
        <v>42</v>
      </c>
      <c r="N5" s="22">
        <v>6000</v>
      </c>
      <c r="O5" s="22">
        <v>48</v>
      </c>
      <c r="P5" s="22">
        <v>8060</v>
      </c>
      <c r="Q5" s="22">
        <v>41.3</v>
      </c>
    </row>
    <row r="6" spans="1:17" s="22" customFormat="1" x14ac:dyDescent="0.3">
      <c r="A6" s="6">
        <v>5</v>
      </c>
      <c r="B6" s="111"/>
      <c r="C6" s="6">
        <v>15</v>
      </c>
      <c r="D6" s="30" t="s">
        <v>199</v>
      </c>
      <c r="E6" s="6" t="s">
        <v>89</v>
      </c>
      <c r="F6" s="6">
        <v>16</v>
      </c>
      <c r="G6" s="28">
        <f t="shared" si="0"/>
        <v>4989.6000000000004</v>
      </c>
      <c r="H6" s="28">
        <f t="shared" si="1"/>
        <v>898.12800000000004</v>
      </c>
      <c r="I6" s="29">
        <f t="shared" si="2"/>
        <v>94203.648000000001</v>
      </c>
      <c r="J6" s="9">
        <f t="shared" si="3"/>
        <v>42</v>
      </c>
      <c r="K6" s="10">
        <v>35</v>
      </c>
      <c r="L6" s="10">
        <v>70</v>
      </c>
      <c r="M6" s="22">
        <v>42</v>
      </c>
      <c r="N6" s="22">
        <v>9500</v>
      </c>
      <c r="O6" s="22">
        <v>48</v>
      </c>
      <c r="P6" s="22">
        <v>8060</v>
      </c>
      <c r="Q6" s="22">
        <v>41.3</v>
      </c>
    </row>
    <row r="7" spans="1:17" s="22" customFormat="1" x14ac:dyDescent="0.3">
      <c r="A7" s="6">
        <v>6</v>
      </c>
      <c r="B7" s="111"/>
      <c r="C7" s="6">
        <v>16</v>
      </c>
      <c r="D7" s="30" t="s">
        <v>200</v>
      </c>
      <c r="E7" s="6" t="s">
        <v>89</v>
      </c>
      <c r="F7" s="6">
        <v>8</v>
      </c>
      <c r="G7" s="28">
        <f t="shared" si="0"/>
        <v>90525.6</v>
      </c>
      <c r="H7" s="28">
        <f t="shared" si="1"/>
        <v>16294.608</v>
      </c>
      <c r="I7" s="29">
        <f t="shared" si="2"/>
        <v>854561.66400000011</v>
      </c>
      <c r="J7" s="9">
        <f t="shared" si="3"/>
        <v>762</v>
      </c>
      <c r="K7" s="10">
        <v>635</v>
      </c>
      <c r="L7" s="10">
        <v>1160</v>
      </c>
      <c r="M7" s="22">
        <v>848</v>
      </c>
      <c r="N7" s="22">
        <v>340000</v>
      </c>
      <c r="O7" s="22">
        <v>957</v>
      </c>
      <c r="P7" s="22">
        <v>163020</v>
      </c>
      <c r="Q7" s="22">
        <v>823</v>
      </c>
    </row>
    <row r="8" spans="1:17" s="22" customFormat="1" x14ac:dyDescent="0.3">
      <c r="A8" s="6">
        <v>7</v>
      </c>
      <c r="B8" s="111"/>
      <c r="C8" s="6">
        <v>17</v>
      </c>
      <c r="D8" s="30" t="s">
        <v>201</v>
      </c>
      <c r="E8" s="6" t="s">
        <v>89</v>
      </c>
      <c r="F8" s="6">
        <v>8</v>
      </c>
      <c r="G8" s="28">
        <f t="shared" si="0"/>
        <v>69141.600000000006</v>
      </c>
      <c r="H8" s="28">
        <f t="shared" si="1"/>
        <v>12445.488000000001</v>
      </c>
      <c r="I8" s="29">
        <f t="shared" si="2"/>
        <v>652696.70400000003</v>
      </c>
      <c r="J8" s="9">
        <f t="shared" si="3"/>
        <v>582</v>
      </c>
      <c r="K8" s="10">
        <v>485</v>
      </c>
      <c r="L8" s="10">
        <v>500</v>
      </c>
      <c r="M8" s="22">
        <v>530</v>
      </c>
      <c r="N8" s="22">
        <v>296000</v>
      </c>
      <c r="O8" s="22">
        <v>600</v>
      </c>
      <c r="P8" s="22">
        <v>101920</v>
      </c>
      <c r="Q8" s="22">
        <v>600</v>
      </c>
    </row>
    <row r="9" spans="1:17" s="22" customFormat="1" x14ac:dyDescent="0.3">
      <c r="A9" s="6">
        <v>8</v>
      </c>
      <c r="B9" s="111"/>
      <c r="C9" s="6">
        <v>23</v>
      </c>
      <c r="D9" s="30" t="s">
        <v>202</v>
      </c>
      <c r="E9" s="6" t="s">
        <v>89</v>
      </c>
      <c r="F9" s="6">
        <v>8</v>
      </c>
      <c r="G9" s="28">
        <f t="shared" si="0"/>
        <v>7840.8</v>
      </c>
      <c r="H9" s="28">
        <f t="shared" si="1"/>
        <v>1411.3440000000001</v>
      </c>
      <c r="I9" s="29">
        <f t="shared" si="2"/>
        <v>74017.152000000002</v>
      </c>
      <c r="J9" s="9">
        <f t="shared" si="3"/>
        <v>66</v>
      </c>
      <c r="K9" s="10">
        <v>55</v>
      </c>
      <c r="L9" s="10">
        <v>90</v>
      </c>
      <c r="M9" s="22">
        <v>74</v>
      </c>
      <c r="N9" s="22">
        <v>54000</v>
      </c>
      <c r="O9" s="22">
        <v>85</v>
      </c>
      <c r="P9" s="22">
        <v>13390</v>
      </c>
      <c r="Q9" s="22">
        <v>85</v>
      </c>
    </row>
    <row r="10" spans="1:17" s="22" customFormat="1" x14ac:dyDescent="0.3">
      <c r="A10" s="6">
        <v>9</v>
      </c>
      <c r="B10" s="111"/>
      <c r="C10" s="6">
        <v>28</v>
      </c>
      <c r="D10" s="30" t="s">
        <v>203</v>
      </c>
      <c r="E10" s="6" t="s">
        <v>89</v>
      </c>
      <c r="F10" s="6">
        <v>30</v>
      </c>
      <c r="G10" s="28">
        <f t="shared" si="0"/>
        <v>427.67999999999995</v>
      </c>
      <c r="H10" s="28">
        <f t="shared" si="1"/>
        <v>76.982399999999984</v>
      </c>
      <c r="I10" s="29">
        <f t="shared" si="2"/>
        <v>15139.871999999998</v>
      </c>
      <c r="J10" s="9">
        <f t="shared" si="3"/>
        <v>3.5999999999999996</v>
      </c>
      <c r="K10" s="10">
        <v>3</v>
      </c>
      <c r="L10" s="10">
        <v>0.9</v>
      </c>
      <c r="M10" s="22">
        <v>21</v>
      </c>
      <c r="N10" s="22">
        <v>1000</v>
      </c>
      <c r="O10" s="22">
        <v>24</v>
      </c>
      <c r="P10" s="22">
        <v>4160</v>
      </c>
      <c r="Q10" s="22">
        <v>24</v>
      </c>
    </row>
    <row r="11" spans="1:17" s="22" customFormat="1" x14ac:dyDescent="0.3">
      <c r="A11" s="6">
        <v>10</v>
      </c>
      <c r="B11" s="111"/>
      <c r="C11" s="6">
        <v>36</v>
      </c>
      <c r="D11" s="30" t="s">
        <v>204</v>
      </c>
      <c r="E11" s="6" t="s">
        <v>89</v>
      </c>
      <c r="F11" s="6">
        <v>8</v>
      </c>
      <c r="G11" s="28">
        <f t="shared" si="0"/>
        <v>104068.8</v>
      </c>
      <c r="H11" s="28">
        <f t="shared" si="1"/>
        <v>18732.383999999998</v>
      </c>
      <c r="I11" s="29">
        <f t="shared" si="2"/>
        <v>982409.47200000007</v>
      </c>
      <c r="J11" s="9">
        <f t="shared" si="3"/>
        <v>876</v>
      </c>
      <c r="K11" s="10">
        <v>730</v>
      </c>
      <c r="L11" s="10">
        <v>960</v>
      </c>
      <c r="M11" s="22">
        <v>742</v>
      </c>
      <c r="N11" s="22">
        <v>310000</v>
      </c>
      <c r="O11" s="22">
        <v>840</v>
      </c>
      <c r="P11" s="22">
        <v>134160</v>
      </c>
      <c r="Q11" s="22">
        <v>840</v>
      </c>
    </row>
    <row r="12" spans="1:17" s="22" customFormat="1" x14ac:dyDescent="0.3">
      <c r="A12" s="6">
        <v>11</v>
      </c>
      <c r="B12" s="111"/>
      <c r="C12" s="6">
        <v>37</v>
      </c>
      <c r="D12" s="30" t="s">
        <v>204</v>
      </c>
      <c r="E12" s="6" t="s">
        <v>89</v>
      </c>
      <c r="F12" s="6">
        <v>8</v>
      </c>
      <c r="G12" s="28">
        <f t="shared" ref="G12" si="4">J12*88*1.35</f>
        <v>104068.8</v>
      </c>
      <c r="H12" s="28">
        <f t="shared" ref="H12" si="5">G12*18%</f>
        <v>18732.383999999998</v>
      </c>
      <c r="I12" s="29">
        <f t="shared" ref="I12" si="6">F12*(G12+H12)</f>
        <v>982409.47200000007</v>
      </c>
      <c r="J12" s="9">
        <f t="shared" ref="J12" si="7">K12*1.2</f>
        <v>876</v>
      </c>
      <c r="K12" s="10">
        <v>730</v>
      </c>
      <c r="L12" s="10">
        <v>960</v>
      </c>
      <c r="M12" s="22">
        <v>742</v>
      </c>
      <c r="N12" s="22">
        <v>440000</v>
      </c>
      <c r="O12" s="22">
        <v>840</v>
      </c>
      <c r="P12" s="22">
        <v>134160</v>
      </c>
      <c r="Q12" s="22">
        <v>840</v>
      </c>
    </row>
    <row r="13" spans="1:17" s="22" customFormat="1" x14ac:dyDescent="0.3">
      <c r="A13" s="6">
        <v>12</v>
      </c>
      <c r="B13" s="87" t="s">
        <v>211</v>
      </c>
      <c r="C13" s="6">
        <v>1</v>
      </c>
      <c r="D13" s="30" t="s">
        <v>204</v>
      </c>
      <c r="E13" s="6" t="s">
        <v>89</v>
      </c>
      <c r="F13" s="6">
        <v>2</v>
      </c>
      <c r="G13" s="28">
        <f t="shared" si="0"/>
        <v>279417.60000000003</v>
      </c>
      <c r="H13" s="28">
        <f t="shared" si="1"/>
        <v>50295.168000000005</v>
      </c>
      <c r="I13" s="29">
        <f t="shared" si="2"/>
        <v>659425.53600000008</v>
      </c>
      <c r="J13" s="9">
        <f t="shared" si="3"/>
        <v>2352</v>
      </c>
      <c r="K13" s="10">
        <v>1960</v>
      </c>
      <c r="L13" s="10">
        <v>2250</v>
      </c>
      <c r="M13" s="22">
        <v>2758</v>
      </c>
      <c r="O13" s="22">
        <v>3110</v>
      </c>
      <c r="P13" s="22">
        <v>529750</v>
      </c>
      <c r="Q13" s="22">
        <v>3110</v>
      </c>
    </row>
    <row r="14" spans="1:17" s="22" customFormat="1" x14ac:dyDescent="0.3">
      <c r="A14" s="6">
        <v>13</v>
      </c>
      <c r="B14" s="88"/>
      <c r="C14" s="6">
        <v>3</v>
      </c>
      <c r="D14" s="30" t="s">
        <v>205</v>
      </c>
      <c r="E14" s="6" t="s">
        <v>89</v>
      </c>
      <c r="F14" s="6">
        <v>8</v>
      </c>
      <c r="G14" s="28">
        <f t="shared" si="0"/>
        <v>94089.600000000006</v>
      </c>
      <c r="H14" s="28">
        <f t="shared" si="1"/>
        <v>16936.128000000001</v>
      </c>
      <c r="I14" s="29">
        <f t="shared" si="2"/>
        <v>888205.82400000002</v>
      </c>
      <c r="J14" s="9">
        <f t="shared" si="3"/>
        <v>792</v>
      </c>
      <c r="K14" s="10">
        <v>660</v>
      </c>
      <c r="L14" s="10">
        <v>833</v>
      </c>
      <c r="M14" s="22">
        <v>848</v>
      </c>
      <c r="O14" s="22">
        <v>957</v>
      </c>
      <c r="P14" s="22">
        <v>163020</v>
      </c>
      <c r="Q14" s="22">
        <v>957</v>
      </c>
    </row>
    <row r="15" spans="1:17" s="22" customFormat="1" x14ac:dyDescent="0.3">
      <c r="A15" s="6">
        <v>14</v>
      </c>
      <c r="B15" s="88"/>
      <c r="C15" s="6">
        <v>4</v>
      </c>
      <c r="D15" s="30" t="s">
        <v>206</v>
      </c>
      <c r="E15" s="6" t="s">
        <v>89</v>
      </c>
      <c r="F15" s="6">
        <v>16</v>
      </c>
      <c r="G15" s="28">
        <f t="shared" si="0"/>
        <v>1140.48</v>
      </c>
      <c r="H15" s="28">
        <f t="shared" si="1"/>
        <v>205.28639999999999</v>
      </c>
      <c r="I15" s="29">
        <f t="shared" si="2"/>
        <v>21532.2624</v>
      </c>
      <c r="J15" s="9">
        <f t="shared" si="3"/>
        <v>9.6</v>
      </c>
      <c r="K15" s="10">
        <v>8</v>
      </c>
      <c r="L15" s="10">
        <v>10</v>
      </c>
      <c r="M15" s="22">
        <v>11</v>
      </c>
      <c r="O15" s="22">
        <v>12</v>
      </c>
      <c r="P15" s="22">
        <v>2080</v>
      </c>
      <c r="Q15" s="22">
        <v>12</v>
      </c>
    </row>
    <row r="16" spans="1:17" s="22" customFormat="1" x14ac:dyDescent="0.3">
      <c r="A16" s="6">
        <v>15</v>
      </c>
      <c r="B16" s="88"/>
      <c r="C16" s="6">
        <v>7</v>
      </c>
      <c r="D16" s="30" t="s">
        <v>207</v>
      </c>
      <c r="E16" s="6" t="s">
        <v>89</v>
      </c>
      <c r="F16" s="6">
        <v>16</v>
      </c>
      <c r="G16" s="28">
        <f t="shared" si="0"/>
        <v>2138.4</v>
      </c>
      <c r="H16" s="28">
        <f t="shared" si="1"/>
        <v>384.91199999999998</v>
      </c>
      <c r="I16" s="29">
        <f t="shared" si="2"/>
        <v>40372.991999999998</v>
      </c>
      <c r="J16" s="9">
        <f t="shared" si="3"/>
        <v>18</v>
      </c>
      <c r="K16" s="10">
        <v>15</v>
      </c>
      <c r="L16" s="10">
        <v>60</v>
      </c>
      <c r="M16" s="22">
        <v>64</v>
      </c>
      <c r="O16" s="22">
        <v>72</v>
      </c>
      <c r="P16" s="22">
        <v>12350</v>
      </c>
      <c r="Q16" s="22">
        <v>72</v>
      </c>
    </row>
    <row r="17" spans="1:17" s="22" customFormat="1" x14ac:dyDescent="0.3">
      <c r="A17" s="6">
        <v>16</v>
      </c>
      <c r="B17" s="88"/>
      <c r="C17" s="6">
        <v>10</v>
      </c>
      <c r="D17" s="30" t="s">
        <v>208</v>
      </c>
      <c r="E17" s="6" t="s">
        <v>89</v>
      </c>
      <c r="F17" s="6">
        <v>16</v>
      </c>
      <c r="G17" s="28">
        <f t="shared" si="0"/>
        <v>2566.08</v>
      </c>
      <c r="H17" s="28">
        <f t="shared" si="1"/>
        <v>461.89439999999996</v>
      </c>
      <c r="I17" s="29">
        <f t="shared" si="2"/>
        <v>48447.590400000001</v>
      </c>
      <c r="J17" s="9">
        <f t="shared" si="3"/>
        <v>21.599999999999998</v>
      </c>
      <c r="K17" s="10">
        <v>18</v>
      </c>
      <c r="L17" s="10">
        <v>30</v>
      </c>
      <c r="M17" s="22">
        <v>64</v>
      </c>
      <c r="O17" s="22">
        <v>72</v>
      </c>
      <c r="P17" s="22">
        <v>12350</v>
      </c>
      <c r="Q17" s="22">
        <v>72</v>
      </c>
    </row>
    <row r="18" spans="1:17" s="22" customFormat="1" x14ac:dyDescent="0.3">
      <c r="A18" s="6">
        <v>17</v>
      </c>
      <c r="B18" s="88"/>
      <c r="C18" s="6">
        <v>11</v>
      </c>
      <c r="D18" s="30" t="s">
        <v>209</v>
      </c>
      <c r="E18" s="6" t="s">
        <v>89</v>
      </c>
      <c r="F18" s="6">
        <v>8</v>
      </c>
      <c r="G18" s="28">
        <f t="shared" si="0"/>
        <v>104068.8</v>
      </c>
      <c r="H18" s="28">
        <f t="shared" si="1"/>
        <v>18732.383999999998</v>
      </c>
      <c r="I18" s="29">
        <f t="shared" si="2"/>
        <v>982409.47200000007</v>
      </c>
      <c r="J18" s="9">
        <f t="shared" si="3"/>
        <v>876</v>
      </c>
      <c r="K18" s="32">
        <v>730</v>
      </c>
      <c r="L18" s="10">
        <v>1040</v>
      </c>
      <c r="M18" s="22">
        <v>636</v>
      </c>
      <c r="O18" s="22">
        <v>720</v>
      </c>
      <c r="P18" s="22">
        <v>122200</v>
      </c>
      <c r="Q18" s="22">
        <v>720</v>
      </c>
    </row>
    <row r="19" spans="1:17" s="22" customFormat="1" x14ac:dyDescent="0.3">
      <c r="A19" s="6">
        <v>18</v>
      </c>
      <c r="B19" s="88"/>
      <c r="C19" s="6">
        <v>12</v>
      </c>
      <c r="D19" s="30" t="s">
        <v>206</v>
      </c>
      <c r="E19" s="6" t="s">
        <v>89</v>
      </c>
      <c r="F19" s="6">
        <v>16</v>
      </c>
      <c r="G19" s="28">
        <f t="shared" si="0"/>
        <v>1140.48</v>
      </c>
      <c r="H19" s="28">
        <f t="shared" si="1"/>
        <v>205.28639999999999</v>
      </c>
      <c r="I19" s="29">
        <f t="shared" si="2"/>
        <v>21532.2624</v>
      </c>
      <c r="J19" s="9">
        <f t="shared" si="3"/>
        <v>9.6</v>
      </c>
      <c r="K19" s="10">
        <v>8</v>
      </c>
      <c r="L19" s="10">
        <v>2.2999999999999998</v>
      </c>
      <c r="M19" s="22">
        <v>21</v>
      </c>
      <c r="O19" s="22">
        <v>24</v>
      </c>
      <c r="P19" s="22">
        <v>4160</v>
      </c>
      <c r="Q19" s="22">
        <v>24</v>
      </c>
    </row>
    <row r="20" spans="1:17" s="22" customFormat="1" x14ac:dyDescent="0.3">
      <c r="A20" s="6">
        <v>19</v>
      </c>
      <c r="B20" s="88"/>
      <c r="C20" s="6">
        <v>13</v>
      </c>
      <c r="D20" s="30" t="s">
        <v>196</v>
      </c>
      <c r="E20" s="6" t="s">
        <v>89</v>
      </c>
      <c r="F20" s="6">
        <v>26</v>
      </c>
      <c r="G20" s="28">
        <f t="shared" si="0"/>
        <v>1710.7199999999998</v>
      </c>
      <c r="H20" s="28">
        <f t="shared" si="1"/>
        <v>307.92959999999994</v>
      </c>
      <c r="I20" s="29">
        <f t="shared" si="2"/>
        <v>52484.889599999995</v>
      </c>
      <c r="J20" s="9">
        <f t="shared" si="3"/>
        <v>14.399999999999999</v>
      </c>
      <c r="K20" s="32">
        <v>12</v>
      </c>
      <c r="L20" s="10">
        <v>12</v>
      </c>
      <c r="M20" s="22">
        <v>8</v>
      </c>
      <c r="O20" s="22">
        <v>10</v>
      </c>
      <c r="P20" s="22">
        <v>1690</v>
      </c>
      <c r="Q20" s="22">
        <v>10</v>
      </c>
    </row>
    <row r="21" spans="1:17" s="22" customFormat="1" x14ac:dyDescent="0.3">
      <c r="A21" s="6">
        <v>20</v>
      </c>
      <c r="B21" s="88"/>
      <c r="C21" s="6">
        <v>22</v>
      </c>
      <c r="D21" s="30" t="s">
        <v>206</v>
      </c>
      <c r="E21" s="6" t="s">
        <v>89</v>
      </c>
      <c r="F21" s="6">
        <v>16</v>
      </c>
      <c r="G21" s="28">
        <f t="shared" si="0"/>
        <v>2138.4</v>
      </c>
      <c r="H21" s="28">
        <f t="shared" si="1"/>
        <v>384.91199999999998</v>
      </c>
      <c r="I21" s="29">
        <f t="shared" si="2"/>
        <v>40372.991999999998</v>
      </c>
      <c r="J21" s="9">
        <f t="shared" si="3"/>
        <v>18</v>
      </c>
      <c r="K21" s="10">
        <v>15</v>
      </c>
      <c r="L21" s="10">
        <v>16</v>
      </c>
      <c r="M21" s="22">
        <v>53</v>
      </c>
      <c r="O21" s="22">
        <v>60</v>
      </c>
      <c r="P21" s="22">
        <v>10140</v>
      </c>
      <c r="Q21" s="22">
        <v>60</v>
      </c>
    </row>
    <row r="22" spans="1:17" s="22" customFormat="1" x14ac:dyDescent="0.3">
      <c r="A22" s="6">
        <v>21</v>
      </c>
      <c r="B22" s="88"/>
      <c r="C22" s="6">
        <v>26</v>
      </c>
      <c r="D22" s="30" t="s">
        <v>205</v>
      </c>
      <c r="E22" s="6" t="s">
        <v>89</v>
      </c>
      <c r="F22" s="6">
        <v>4</v>
      </c>
      <c r="G22" s="28">
        <f t="shared" si="0"/>
        <v>65577.600000000006</v>
      </c>
      <c r="H22" s="28">
        <f t="shared" si="1"/>
        <v>11803.968000000001</v>
      </c>
      <c r="I22" s="29">
        <f t="shared" si="2"/>
        <v>309526.272</v>
      </c>
      <c r="J22" s="9">
        <f t="shared" si="3"/>
        <v>552</v>
      </c>
      <c r="K22" s="10">
        <v>460</v>
      </c>
      <c r="L22" s="10">
        <v>533</v>
      </c>
      <c r="M22" s="22">
        <v>594</v>
      </c>
      <c r="O22" s="22">
        <v>670</v>
      </c>
      <c r="P22" s="22">
        <v>114140</v>
      </c>
      <c r="Q22" s="22">
        <v>670</v>
      </c>
    </row>
    <row r="23" spans="1:17" s="22" customFormat="1" x14ac:dyDescent="0.3">
      <c r="A23" s="6">
        <v>22</v>
      </c>
      <c r="B23" s="88"/>
      <c r="C23" s="6">
        <v>28</v>
      </c>
      <c r="D23" s="30" t="s">
        <v>210</v>
      </c>
      <c r="E23" s="6" t="s">
        <v>89</v>
      </c>
      <c r="F23" s="6">
        <v>8</v>
      </c>
      <c r="G23" s="28">
        <f t="shared" si="0"/>
        <v>112622.40000000001</v>
      </c>
      <c r="H23" s="28">
        <f t="shared" si="1"/>
        <v>20272.031999999999</v>
      </c>
      <c r="I23" s="29">
        <f t="shared" si="2"/>
        <v>1063155.456</v>
      </c>
      <c r="J23" s="9">
        <f t="shared" si="3"/>
        <v>948</v>
      </c>
      <c r="K23" s="10">
        <v>790</v>
      </c>
      <c r="L23" s="10">
        <v>1215</v>
      </c>
      <c r="M23" s="22">
        <v>742</v>
      </c>
      <c r="O23" s="22">
        <v>840</v>
      </c>
      <c r="P23" s="22">
        <v>142610</v>
      </c>
      <c r="Q23" s="22">
        <v>840</v>
      </c>
    </row>
    <row r="24" spans="1:17" s="22" customFormat="1" x14ac:dyDescent="0.3">
      <c r="A24" s="6">
        <v>23</v>
      </c>
      <c r="B24" s="88"/>
      <c r="C24" s="6">
        <v>30</v>
      </c>
      <c r="D24" s="30" t="s">
        <v>204</v>
      </c>
      <c r="E24" s="6" t="s">
        <v>89</v>
      </c>
      <c r="F24" s="6">
        <v>4</v>
      </c>
      <c r="G24" s="28">
        <f t="shared" si="0"/>
        <v>277992</v>
      </c>
      <c r="H24" s="28">
        <f t="shared" si="1"/>
        <v>50038.559999999998</v>
      </c>
      <c r="I24" s="29">
        <f t="shared" si="2"/>
        <v>1312122.24</v>
      </c>
      <c r="J24" s="9">
        <f t="shared" si="3"/>
        <v>2340</v>
      </c>
      <c r="K24" s="10">
        <v>1950</v>
      </c>
      <c r="L24" s="10">
        <v>2100</v>
      </c>
      <c r="M24" s="22">
        <v>3394</v>
      </c>
      <c r="O24" s="22">
        <v>3826</v>
      </c>
      <c r="P24" s="22">
        <v>651950</v>
      </c>
      <c r="Q24" s="22">
        <v>3826</v>
      </c>
    </row>
    <row r="25" spans="1:17" s="22" customFormat="1" x14ac:dyDescent="0.3">
      <c r="A25" s="6">
        <v>24</v>
      </c>
      <c r="B25" s="89"/>
      <c r="C25" s="6">
        <v>35</v>
      </c>
      <c r="D25" s="30" t="s">
        <v>209</v>
      </c>
      <c r="E25" s="6" t="s">
        <v>89</v>
      </c>
      <c r="F25" s="6">
        <v>8</v>
      </c>
      <c r="G25" s="28">
        <f t="shared" si="0"/>
        <v>3564.0000000000005</v>
      </c>
      <c r="H25" s="28">
        <f t="shared" si="1"/>
        <v>641.5200000000001</v>
      </c>
      <c r="I25" s="29">
        <f t="shared" si="2"/>
        <v>33644.160000000003</v>
      </c>
      <c r="J25" s="9">
        <f t="shared" si="3"/>
        <v>30</v>
      </c>
      <c r="K25" s="10">
        <v>25</v>
      </c>
      <c r="L25" s="10">
        <v>1000</v>
      </c>
      <c r="M25" s="22">
        <v>127</v>
      </c>
      <c r="O25" s="22">
        <v>145</v>
      </c>
      <c r="P25" s="22">
        <v>24440</v>
      </c>
      <c r="Q25" s="22">
        <v>145</v>
      </c>
    </row>
    <row r="26" spans="1:17" s="22" customFormat="1" x14ac:dyDescent="0.3">
      <c r="A26" s="107"/>
      <c r="B26" s="108"/>
      <c r="C26" s="108"/>
      <c r="D26" s="108"/>
      <c r="E26" s="108"/>
      <c r="F26" s="108"/>
      <c r="G26" s="108"/>
      <c r="H26" s="108"/>
      <c r="I26" s="109"/>
      <c r="J26" s="3"/>
      <c r="K26" s="12"/>
      <c r="L26" s="3"/>
    </row>
    <row r="27" spans="1:17" s="22" customFormat="1" ht="157.5" customHeight="1" x14ac:dyDescent="0.3">
      <c r="A27" s="13" t="s">
        <v>9</v>
      </c>
      <c r="B27" s="84" t="s">
        <v>157</v>
      </c>
      <c r="C27" s="85"/>
      <c r="D27" s="85"/>
      <c r="E27" s="85"/>
      <c r="F27" s="85"/>
      <c r="G27" s="85"/>
      <c r="H27" s="85"/>
      <c r="I27" s="86"/>
      <c r="J27" s="25"/>
      <c r="K27" s="25"/>
      <c r="L27" s="3"/>
      <c r="M27" s="24"/>
    </row>
  </sheetData>
  <mergeCells count="4">
    <mergeCell ref="A26:I26"/>
    <mergeCell ref="B27:I27"/>
    <mergeCell ref="B13:B25"/>
    <mergeCell ref="B2:B1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4"/>
  <sheetViews>
    <sheetView workbookViewId="0">
      <selection activeCell="G2" sqref="G2"/>
    </sheetView>
  </sheetViews>
  <sheetFormatPr defaultColWidth="9.109375" defaultRowHeight="13.8" x14ac:dyDescent="0.3"/>
  <cols>
    <col min="1" max="1" width="5.88671875" style="3" bestFit="1" customWidth="1"/>
    <col min="2" max="2" width="28.33203125" style="3" customWidth="1"/>
    <col min="3" max="3" width="12.33203125" style="3" customWidth="1"/>
    <col min="4" max="4" width="30.109375" style="3" customWidth="1"/>
    <col min="5" max="5" width="5" style="3" bestFit="1" customWidth="1"/>
    <col min="6" max="6" width="4" style="3" bestFit="1" customWidth="1"/>
    <col min="7" max="8" width="13.33203125" style="3" bestFit="1" customWidth="1"/>
    <col min="9" max="9" width="16.5546875" style="3" bestFit="1" customWidth="1"/>
    <col min="10" max="10" width="9.109375" style="3"/>
    <col min="11" max="11" width="14" style="12" bestFit="1" customWidth="1"/>
    <col min="12" max="12" width="19.5546875" style="3" customWidth="1"/>
    <col min="13" max="13" width="11.33203125" style="22" bestFit="1" customWidth="1"/>
    <col min="14" max="14" width="10.44140625" style="22" bestFit="1" customWidth="1"/>
    <col min="15" max="16384" width="9.109375" style="3"/>
  </cols>
  <sheetData>
    <row r="1" spans="1:13" s="22" customFormat="1" ht="27.6" x14ac:dyDescent="0.3">
      <c r="A1" s="27" t="s">
        <v>0</v>
      </c>
      <c r="B1" s="2" t="s">
        <v>144</v>
      </c>
      <c r="C1" s="2" t="s">
        <v>143</v>
      </c>
      <c r="D1" s="2" t="s">
        <v>1</v>
      </c>
      <c r="E1" s="2" t="s">
        <v>2</v>
      </c>
      <c r="F1" s="2" t="s">
        <v>55</v>
      </c>
      <c r="G1" s="27" t="s">
        <v>3</v>
      </c>
      <c r="H1" s="27" t="s">
        <v>56</v>
      </c>
      <c r="I1" s="27" t="s">
        <v>4</v>
      </c>
      <c r="J1" s="3" t="s">
        <v>5</v>
      </c>
      <c r="K1" s="3" t="s">
        <v>60</v>
      </c>
      <c r="L1" s="3" t="s">
        <v>176</v>
      </c>
    </row>
    <row r="2" spans="1:13" s="22" customFormat="1" ht="41.4" x14ac:dyDescent="0.3">
      <c r="A2" s="6">
        <v>1</v>
      </c>
      <c r="B2" s="31" t="s">
        <v>219</v>
      </c>
      <c r="C2" s="6" t="s">
        <v>220</v>
      </c>
      <c r="D2" s="5" t="s">
        <v>221</v>
      </c>
      <c r="E2" s="6" t="s">
        <v>89</v>
      </c>
      <c r="F2" s="6">
        <v>1</v>
      </c>
      <c r="G2" s="28">
        <f>J2*84*1.27</f>
        <v>1418844</v>
      </c>
      <c r="H2" s="28">
        <f t="shared" ref="H2" si="0">G2*18%</f>
        <v>255391.91999999998</v>
      </c>
      <c r="I2" s="29">
        <f t="shared" ref="I2" si="1">F2*(G2+H2)</f>
        <v>1674235.92</v>
      </c>
      <c r="J2" s="9">
        <v>13300</v>
      </c>
      <c r="K2" s="10">
        <v>13400</v>
      </c>
      <c r="L2" s="10"/>
    </row>
    <row r="3" spans="1:13" s="22" customFormat="1" x14ac:dyDescent="0.3">
      <c r="A3" s="107"/>
      <c r="B3" s="108"/>
      <c r="C3" s="108"/>
      <c r="D3" s="108"/>
      <c r="E3" s="108"/>
      <c r="F3" s="108"/>
      <c r="G3" s="108"/>
      <c r="H3" s="108"/>
      <c r="I3" s="109"/>
      <c r="J3" s="3"/>
      <c r="K3" s="12"/>
      <c r="L3" s="3"/>
    </row>
    <row r="4" spans="1:13" s="22" customFormat="1" ht="157.5" customHeight="1" x14ac:dyDescent="0.3">
      <c r="A4" s="13" t="s">
        <v>9</v>
      </c>
      <c r="B4" s="84" t="s">
        <v>222</v>
      </c>
      <c r="C4" s="85"/>
      <c r="D4" s="85"/>
      <c r="E4" s="85"/>
      <c r="F4" s="85"/>
      <c r="G4" s="85"/>
      <c r="H4" s="85"/>
      <c r="I4" s="86"/>
      <c r="J4" s="25"/>
      <c r="K4" s="25"/>
      <c r="L4" s="3"/>
      <c r="M4" s="24"/>
    </row>
  </sheetData>
  <mergeCells count="2">
    <mergeCell ref="A3:I3"/>
    <mergeCell ref="B4:I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6"/>
  <sheetViews>
    <sheetView workbookViewId="0">
      <selection activeCell="K2" sqref="K2:K3"/>
    </sheetView>
  </sheetViews>
  <sheetFormatPr defaultColWidth="9.109375" defaultRowHeight="13.8" x14ac:dyDescent="0.3"/>
  <cols>
    <col min="1" max="1" width="5.88671875" style="3" bestFit="1" customWidth="1"/>
    <col min="2" max="2" width="28.33203125" style="3" customWidth="1"/>
    <col min="3" max="3" width="12.33203125" style="3" customWidth="1"/>
    <col min="4" max="4" width="30.109375" style="3" customWidth="1"/>
    <col min="5" max="5" width="5" style="3" bestFit="1" customWidth="1"/>
    <col min="6" max="6" width="4" style="3" bestFit="1" customWidth="1"/>
    <col min="7" max="8" width="13.33203125" style="3" bestFit="1" customWidth="1"/>
    <col min="9" max="9" width="16.5546875" style="3" bestFit="1" customWidth="1"/>
    <col min="10" max="10" width="9.109375" style="3"/>
    <col min="11" max="11" width="14" style="12" bestFit="1" customWidth="1"/>
    <col min="12" max="12" width="19.5546875" style="3" customWidth="1"/>
    <col min="13" max="13" width="11.33203125" style="22" bestFit="1" customWidth="1"/>
    <col min="14" max="14" width="10.44140625" style="22" bestFit="1" customWidth="1"/>
    <col min="15" max="16384" width="9.109375" style="3"/>
  </cols>
  <sheetData>
    <row r="1" spans="1:13" s="22" customFormat="1" ht="27.6" x14ac:dyDescent="0.3">
      <c r="A1" s="27" t="s">
        <v>0</v>
      </c>
      <c r="B1" s="2" t="s">
        <v>144</v>
      </c>
      <c r="C1" s="2" t="s">
        <v>143</v>
      </c>
      <c r="D1" s="2" t="s">
        <v>1</v>
      </c>
      <c r="E1" s="2" t="s">
        <v>2</v>
      </c>
      <c r="F1" s="2" t="s">
        <v>55</v>
      </c>
      <c r="G1" s="27" t="s">
        <v>3</v>
      </c>
      <c r="H1" s="27" t="s">
        <v>56</v>
      </c>
      <c r="I1" s="27" t="s">
        <v>4</v>
      </c>
      <c r="J1" s="3" t="s">
        <v>5</v>
      </c>
      <c r="K1" s="3" t="s">
        <v>60</v>
      </c>
      <c r="L1" s="3" t="s">
        <v>86</v>
      </c>
      <c r="M1" s="22" t="s">
        <v>297</v>
      </c>
    </row>
    <row r="2" spans="1:13" s="22" customFormat="1" x14ac:dyDescent="0.3">
      <c r="A2" s="6">
        <v>1</v>
      </c>
      <c r="B2" s="31" t="s">
        <v>223</v>
      </c>
      <c r="C2" s="6" t="s">
        <v>224</v>
      </c>
      <c r="D2" s="5" t="s">
        <v>226</v>
      </c>
      <c r="E2" s="6" t="s">
        <v>89</v>
      </c>
      <c r="F2" s="6">
        <v>10</v>
      </c>
      <c r="G2" s="28">
        <v>29500</v>
      </c>
      <c r="H2" s="28">
        <f t="shared" ref="H2:H3" si="0">G2*18%</f>
        <v>5310</v>
      </c>
      <c r="I2" s="29">
        <f t="shared" ref="I2:I3" si="1">F2*(G2+H2)</f>
        <v>348100</v>
      </c>
      <c r="J2" s="9">
        <v>268</v>
      </c>
      <c r="K2" s="10">
        <v>275</v>
      </c>
      <c r="L2" s="10">
        <v>268</v>
      </c>
      <c r="M2" s="22">
        <f>31833*0.94</f>
        <v>29923.019999999997</v>
      </c>
    </row>
    <row r="3" spans="1:13" s="22" customFormat="1" x14ac:dyDescent="0.3">
      <c r="A3" s="6">
        <v>2</v>
      </c>
      <c r="B3" s="31" t="s">
        <v>223</v>
      </c>
      <c r="C3" s="6" t="s">
        <v>225</v>
      </c>
      <c r="D3" s="5" t="s">
        <v>226</v>
      </c>
      <c r="E3" s="6" t="s">
        <v>89</v>
      </c>
      <c r="F3" s="6">
        <v>10</v>
      </c>
      <c r="G3" s="28">
        <f t="shared" ref="G3" si="2">J3*88*1.32</f>
        <v>24974.400000000001</v>
      </c>
      <c r="H3" s="28">
        <f t="shared" si="0"/>
        <v>4495.3919999999998</v>
      </c>
      <c r="I3" s="29">
        <f t="shared" si="1"/>
        <v>294697.92000000004</v>
      </c>
      <c r="J3" s="9">
        <v>215</v>
      </c>
      <c r="K3" s="10">
        <v>210</v>
      </c>
      <c r="L3" s="10">
        <v>358</v>
      </c>
      <c r="M3" s="22">
        <f>63297*0.94</f>
        <v>59499.179999999993</v>
      </c>
    </row>
    <row r="4" spans="1:13" s="22" customFormat="1" x14ac:dyDescent="0.3">
      <c r="A4" s="6">
        <v>3</v>
      </c>
      <c r="B4" s="31" t="s">
        <v>223</v>
      </c>
      <c r="C4" s="14" t="s">
        <v>227</v>
      </c>
      <c r="D4" s="5" t="s">
        <v>228</v>
      </c>
      <c r="E4" s="6" t="s">
        <v>89</v>
      </c>
      <c r="F4" s="6">
        <v>10</v>
      </c>
      <c r="G4" s="28">
        <v>8000</v>
      </c>
      <c r="H4" s="28">
        <f t="shared" ref="H4" si="3">G4*18%</f>
        <v>1440</v>
      </c>
      <c r="I4" s="29">
        <f t="shared" ref="I4" si="4">F4*(G4+H4)</f>
        <v>94400</v>
      </c>
      <c r="J4" s="9">
        <v>76</v>
      </c>
      <c r="K4" s="10"/>
      <c r="L4" s="10">
        <v>76</v>
      </c>
      <c r="M4" s="22">
        <f>8546*0.94</f>
        <v>8033.24</v>
      </c>
    </row>
    <row r="5" spans="1:13" s="22" customFormat="1" x14ac:dyDescent="0.3">
      <c r="A5" s="107"/>
      <c r="B5" s="108"/>
      <c r="C5" s="108"/>
      <c r="D5" s="108"/>
      <c r="E5" s="108"/>
      <c r="F5" s="108"/>
      <c r="G5" s="108"/>
      <c r="H5" s="108"/>
      <c r="I5" s="109"/>
      <c r="J5" s="3"/>
      <c r="K5" s="12"/>
      <c r="L5" s="3"/>
    </row>
    <row r="6" spans="1:13" s="22" customFormat="1" ht="157.5" customHeight="1" x14ac:dyDescent="0.3">
      <c r="A6" s="13" t="s">
        <v>9</v>
      </c>
      <c r="B6" s="84" t="s">
        <v>214</v>
      </c>
      <c r="C6" s="85"/>
      <c r="D6" s="85"/>
      <c r="E6" s="85"/>
      <c r="F6" s="85"/>
      <c r="G6" s="85"/>
      <c r="H6" s="85"/>
      <c r="I6" s="86"/>
      <c r="J6" s="25"/>
      <c r="K6" s="25"/>
      <c r="L6" s="3"/>
      <c r="M6" s="24"/>
    </row>
  </sheetData>
  <mergeCells count="2">
    <mergeCell ref="A5:I5"/>
    <mergeCell ref="B6:I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5"/>
  <sheetViews>
    <sheetView workbookViewId="0">
      <selection activeCell="C2" sqref="C2"/>
    </sheetView>
  </sheetViews>
  <sheetFormatPr defaultColWidth="9.109375" defaultRowHeight="13.8" x14ac:dyDescent="0.3"/>
  <cols>
    <col min="1" max="1" width="5.88671875" style="3" bestFit="1" customWidth="1"/>
    <col min="2" max="2" width="28.33203125" style="3" customWidth="1"/>
    <col min="3" max="3" width="12.33203125" style="3" customWidth="1"/>
    <col min="4" max="4" width="30.109375" style="3" customWidth="1"/>
    <col min="5" max="5" width="5" style="3" bestFit="1" customWidth="1"/>
    <col min="6" max="6" width="4" style="3" bestFit="1" customWidth="1"/>
    <col min="7" max="8" width="13.33203125" style="3" bestFit="1" customWidth="1"/>
    <col min="9" max="9" width="16.5546875" style="3" bestFit="1" customWidth="1"/>
    <col min="10" max="10" width="9.109375" style="3"/>
    <col min="11" max="11" width="14" style="12" bestFit="1" customWidth="1"/>
    <col min="12" max="12" width="19.5546875" style="3" customWidth="1"/>
    <col min="13" max="13" width="11.33203125" style="22" bestFit="1" customWidth="1"/>
    <col min="14" max="14" width="10.44140625" style="22" bestFit="1" customWidth="1"/>
    <col min="15" max="16384" width="9.109375" style="3"/>
  </cols>
  <sheetData>
    <row r="1" spans="1:13" s="22" customFormat="1" ht="27.6" x14ac:dyDescent="0.3">
      <c r="A1" s="27" t="s">
        <v>0</v>
      </c>
      <c r="B1" s="2" t="s">
        <v>144</v>
      </c>
      <c r="C1" s="2" t="s">
        <v>143</v>
      </c>
      <c r="D1" s="2" t="s">
        <v>1</v>
      </c>
      <c r="E1" s="2" t="s">
        <v>2</v>
      </c>
      <c r="F1" s="2" t="s">
        <v>55</v>
      </c>
      <c r="G1" s="27" t="s">
        <v>3</v>
      </c>
      <c r="H1" s="27" t="s">
        <v>56</v>
      </c>
      <c r="I1" s="27" t="s">
        <v>4</v>
      </c>
      <c r="J1" s="3" t="s">
        <v>5</v>
      </c>
      <c r="K1" s="3" t="s">
        <v>60</v>
      </c>
      <c r="L1" s="3" t="s">
        <v>176</v>
      </c>
    </row>
    <row r="2" spans="1:13" s="22" customFormat="1" ht="26.1" customHeight="1" x14ac:dyDescent="0.3">
      <c r="A2" s="6">
        <v>1</v>
      </c>
      <c r="B2" s="110" t="s">
        <v>182</v>
      </c>
      <c r="C2" s="6" t="s">
        <v>229</v>
      </c>
      <c r="D2" s="5" t="s">
        <v>230</v>
      </c>
      <c r="E2" s="6" t="s">
        <v>89</v>
      </c>
      <c r="F2" s="6">
        <v>2</v>
      </c>
      <c r="G2" s="28">
        <f>J2*88*1.35</f>
        <v>344520</v>
      </c>
      <c r="H2" s="28">
        <f t="shared" ref="H2" si="0">G2*18%</f>
        <v>62013.599999999999</v>
      </c>
      <c r="I2" s="29">
        <f t="shared" ref="I2" si="1">F2*(G2+H2)</f>
        <v>813067.2</v>
      </c>
      <c r="J2" s="9">
        <v>2900</v>
      </c>
      <c r="K2" s="10">
        <v>2660</v>
      </c>
      <c r="L2" s="10"/>
    </row>
    <row r="3" spans="1:13" s="22" customFormat="1" x14ac:dyDescent="0.3">
      <c r="A3" s="6">
        <v>2</v>
      </c>
      <c r="B3" s="112"/>
      <c r="C3" s="6" t="s">
        <v>232</v>
      </c>
      <c r="D3" s="5" t="s">
        <v>231</v>
      </c>
      <c r="E3" s="6" t="s">
        <v>89</v>
      </c>
      <c r="F3" s="6">
        <v>4</v>
      </c>
      <c r="G3" s="28">
        <f>J3*88*1.35</f>
        <v>41580</v>
      </c>
      <c r="H3" s="28">
        <f t="shared" ref="H3" si="2">G3*18%</f>
        <v>7484.4</v>
      </c>
      <c r="I3" s="29">
        <f t="shared" ref="I3" si="3">F3*(G3+H3)</f>
        <v>196257.6</v>
      </c>
      <c r="J3" s="9">
        <v>350</v>
      </c>
      <c r="K3" s="10">
        <v>330</v>
      </c>
      <c r="L3" s="10"/>
    </row>
    <row r="4" spans="1:13" s="22" customFormat="1" x14ac:dyDescent="0.3">
      <c r="A4" s="107"/>
      <c r="B4" s="108"/>
      <c r="C4" s="108"/>
      <c r="D4" s="108"/>
      <c r="E4" s="108"/>
      <c r="F4" s="108"/>
      <c r="G4" s="108"/>
      <c r="H4" s="108"/>
      <c r="I4" s="109"/>
      <c r="J4" s="3"/>
      <c r="K4" s="12"/>
      <c r="L4" s="3"/>
    </row>
    <row r="5" spans="1:13" s="22" customFormat="1" ht="157.5" customHeight="1" x14ac:dyDescent="0.3">
      <c r="A5" s="13" t="s">
        <v>9</v>
      </c>
      <c r="B5" s="84" t="s">
        <v>214</v>
      </c>
      <c r="C5" s="85"/>
      <c r="D5" s="85"/>
      <c r="E5" s="85"/>
      <c r="F5" s="85"/>
      <c r="G5" s="85"/>
      <c r="H5" s="85"/>
      <c r="I5" s="86"/>
      <c r="J5" s="25"/>
      <c r="K5" s="25"/>
      <c r="L5" s="3"/>
      <c r="M5" s="24"/>
    </row>
  </sheetData>
  <mergeCells count="3">
    <mergeCell ref="A4:I4"/>
    <mergeCell ref="B5:I5"/>
    <mergeCell ref="B2:B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34"/>
  <sheetViews>
    <sheetView workbookViewId="0">
      <selection activeCell="D1" sqref="D1"/>
    </sheetView>
  </sheetViews>
  <sheetFormatPr defaultColWidth="9.109375" defaultRowHeight="13.8" x14ac:dyDescent="0.3"/>
  <cols>
    <col min="1" max="1" width="5.88671875" style="3" bestFit="1" customWidth="1"/>
    <col min="2" max="2" width="26.88671875" style="3" customWidth="1"/>
    <col min="3" max="3" width="15.109375" style="3" customWidth="1"/>
    <col min="4" max="4" width="38.6640625" style="3" customWidth="1"/>
    <col min="5" max="5" width="5" style="3" bestFit="1" customWidth="1"/>
    <col min="6" max="6" width="4" style="3" bestFit="1" customWidth="1"/>
    <col min="7" max="8" width="13.33203125" style="3" bestFit="1" customWidth="1"/>
    <col min="9" max="9" width="16.5546875" style="3" bestFit="1" customWidth="1"/>
    <col min="10" max="10" width="9.109375" style="3"/>
    <col min="11" max="11" width="14" style="12" bestFit="1" customWidth="1"/>
    <col min="12" max="12" width="19.5546875" style="3" customWidth="1"/>
    <col min="13" max="13" width="11.33203125" style="22" bestFit="1" customWidth="1"/>
    <col min="14" max="14" width="10.44140625" style="22" bestFit="1" customWidth="1"/>
    <col min="15" max="16384" width="9.109375" style="3"/>
  </cols>
  <sheetData>
    <row r="1" spans="1:12" s="22" customFormat="1" ht="27.6" x14ac:dyDescent="0.3">
      <c r="A1" s="1" t="s">
        <v>0</v>
      </c>
      <c r="B1" s="2" t="s">
        <v>246</v>
      </c>
      <c r="C1" s="2" t="s">
        <v>143</v>
      </c>
      <c r="D1" s="2" t="s">
        <v>261</v>
      </c>
      <c r="E1" s="2" t="s">
        <v>2</v>
      </c>
      <c r="F1" s="2" t="s">
        <v>55</v>
      </c>
      <c r="G1" s="1" t="s">
        <v>3</v>
      </c>
      <c r="H1" s="1" t="s">
        <v>56</v>
      </c>
      <c r="I1" s="1" t="s">
        <v>4</v>
      </c>
      <c r="J1" s="3" t="s">
        <v>5</v>
      </c>
      <c r="K1" s="3" t="s">
        <v>86</v>
      </c>
      <c r="L1" s="3"/>
    </row>
    <row r="2" spans="1:12" s="22" customFormat="1" x14ac:dyDescent="0.3">
      <c r="A2" s="4">
        <v>1</v>
      </c>
      <c r="B2" s="26" t="s">
        <v>233</v>
      </c>
      <c r="C2" s="4" t="s">
        <v>247</v>
      </c>
      <c r="D2" s="5" t="s">
        <v>262</v>
      </c>
      <c r="E2" s="6" t="s">
        <v>6</v>
      </c>
      <c r="F2" s="4">
        <v>6</v>
      </c>
      <c r="G2" s="7">
        <f>J2*88*1.32</f>
        <v>6388.8</v>
      </c>
      <c r="H2" s="7">
        <f>G2*18%</f>
        <v>1149.9839999999999</v>
      </c>
      <c r="I2" s="8">
        <f t="shared" ref="I2:I31" si="0">F2*(G2+H2)</f>
        <v>45232.703999999998</v>
      </c>
      <c r="J2" s="9">
        <v>55</v>
      </c>
      <c r="K2" s="10">
        <v>35</v>
      </c>
      <c r="L2" s="10"/>
    </row>
    <row r="3" spans="1:12" s="22" customFormat="1" x14ac:dyDescent="0.3">
      <c r="A3" s="4">
        <v>2</v>
      </c>
      <c r="B3" s="26" t="s">
        <v>234</v>
      </c>
      <c r="C3" s="4" t="s">
        <v>248</v>
      </c>
      <c r="D3" s="5" t="s">
        <v>263</v>
      </c>
      <c r="E3" s="6" t="s">
        <v>6</v>
      </c>
      <c r="F3" s="4">
        <v>10</v>
      </c>
      <c r="G3" s="7">
        <f t="shared" ref="G3:G21" si="1">J3*88*1.32</f>
        <v>2323.2000000000003</v>
      </c>
      <c r="H3" s="7">
        <f t="shared" ref="H3:H32" si="2">G3*18%</f>
        <v>418.17600000000004</v>
      </c>
      <c r="I3" s="8">
        <f t="shared" si="0"/>
        <v>27413.760000000002</v>
      </c>
      <c r="J3" s="9">
        <v>20</v>
      </c>
      <c r="K3" s="10">
        <v>12</v>
      </c>
      <c r="L3" s="10"/>
    </row>
    <row r="4" spans="1:12" s="22" customFormat="1" x14ac:dyDescent="0.3">
      <c r="A4" s="4">
        <v>3</v>
      </c>
      <c r="B4" s="26" t="s">
        <v>235</v>
      </c>
      <c r="C4" s="4" t="s">
        <v>249</v>
      </c>
      <c r="D4" s="5" t="s">
        <v>264</v>
      </c>
      <c r="E4" s="6" t="s">
        <v>6</v>
      </c>
      <c r="F4" s="4">
        <v>15</v>
      </c>
      <c r="G4" s="7">
        <f t="shared" si="1"/>
        <v>580.80000000000007</v>
      </c>
      <c r="H4" s="7">
        <f t="shared" si="2"/>
        <v>104.54400000000001</v>
      </c>
      <c r="I4" s="8">
        <f t="shared" ref="I4:I11" si="3">F4*(G4+H4)</f>
        <v>10280.16</v>
      </c>
      <c r="J4" s="9">
        <v>5</v>
      </c>
      <c r="K4" s="10">
        <v>3</v>
      </c>
      <c r="L4" s="10"/>
    </row>
    <row r="5" spans="1:12" s="22" customFormat="1" x14ac:dyDescent="0.3">
      <c r="A5" s="4">
        <v>4</v>
      </c>
      <c r="B5" s="26" t="s">
        <v>235</v>
      </c>
      <c r="C5" s="4" t="s">
        <v>249</v>
      </c>
      <c r="D5" s="5" t="s">
        <v>265</v>
      </c>
      <c r="E5" s="6" t="s">
        <v>6</v>
      </c>
      <c r="F5" s="4">
        <v>10</v>
      </c>
      <c r="G5" s="7">
        <f t="shared" si="1"/>
        <v>580.80000000000007</v>
      </c>
      <c r="H5" s="7">
        <f t="shared" si="2"/>
        <v>104.54400000000001</v>
      </c>
      <c r="I5" s="8">
        <f t="shared" si="3"/>
        <v>6853.4400000000005</v>
      </c>
      <c r="J5" s="9">
        <v>5</v>
      </c>
      <c r="K5" s="10">
        <v>3</v>
      </c>
      <c r="L5" s="10"/>
    </row>
    <row r="6" spans="1:12" s="22" customFormat="1" x14ac:dyDescent="0.3">
      <c r="A6" s="4">
        <v>5</v>
      </c>
      <c r="B6" s="26" t="s">
        <v>235</v>
      </c>
      <c r="C6" s="4" t="s">
        <v>249</v>
      </c>
      <c r="D6" s="5" t="s">
        <v>266</v>
      </c>
      <c r="E6" s="6" t="s">
        <v>6</v>
      </c>
      <c r="F6" s="4">
        <v>10</v>
      </c>
      <c r="G6" s="7">
        <f t="shared" si="1"/>
        <v>580.80000000000007</v>
      </c>
      <c r="H6" s="7">
        <f t="shared" si="2"/>
        <v>104.54400000000001</v>
      </c>
      <c r="I6" s="8">
        <f t="shared" si="3"/>
        <v>6853.4400000000005</v>
      </c>
      <c r="J6" s="9">
        <v>5</v>
      </c>
      <c r="K6" s="10">
        <v>3</v>
      </c>
      <c r="L6" s="10"/>
    </row>
    <row r="7" spans="1:12" s="22" customFormat="1" x14ac:dyDescent="0.3">
      <c r="A7" s="4">
        <v>6</v>
      </c>
      <c r="B7" s="26" t="s">
        <v>235</v>
      </c>
      <c r="C7" s="4" t="s">
        <v>249</v>
      </c>
      <c r="D7" s="5" t="s">
        <v>267</v>
      </c>
      <c r="E7" s="6" t="s">
        <v>6</v>
      </c>
      <c r="F7" s="4">
        <v>10</v>
      </c>
      <c r="G7" s="7">
        <f t="shared" si="1"/>
        <v>580.80000000000007</v>
      </c>
      <c r="H7" s="7">
        <f t="shared" si="2"/>
        <v>104.54400000000001</v>
      </c>
      <c r="I7" s="8">
        <f t="shared" si="3"/>
        <v>6853.4400000000005</v>
      </c>
      <c r="J7" s="9">
        <v>5</v>
      </c>
      <c r="K7" s="10">
        <v>3</v>
      </c>
      <c r="L7" s="10"/>
    </row>
    <row r="8" spans="1:12" s="22" customFormat="1" x14ac:dyDescent="0.3">
      <c r="A8" s="4">
        <v>7</v>
      </c>
      <c r="B8" s="26" t="s">
        <v>236</v>
      </c>
      <c r="C8" s="4" t="s">
        <v>250</v>
      </c>
      <c r="D8" s="5" t="s">
        <v>277</v>
      </c>
      <c r="E8" s="6" t="s">
        <v>6</v>
      </c>
      <c r="F8" s="4">
        <v>10</v>
      </c>
      <c r="G8" s="7">
        <f t="shared" si="1"/>
        <v>4646.4000000000005</v>
      </c>
      <c r="H8" s="7">
        <f t="shared" si="2"/>
        <v>836.35200000000009</v>
      </c>
      <c r="I8" s="8">
        <f t="shared" si="3"/>
        <v>54827.520000000004</v>
      </c>
      <c r="J8" s="9">
        <v>40</v>
      </c>
      <c r="K8" s="10">
        <v>30</v>
      </c>
      <c r="L8" s="10"/>
    </row>
    <row r="9" spans="1:12" s="22" customFormat="1" x14ac:dyDescent="0.3">
      <c r="A9" s="4">
        <v>8</v>
      </c>
      <c r="B9" s="26" t="s">
        <v>237</v>
      </c>
      <c r="C9" s="4" t="s">
        <v>251</v>
      </c>
      <c r="D9" s="5" t="s">
        <v>268</v>
      </c>
      <c r="E9" s="6" t="s">
        <v>6</v>
      </c>
      <c r="F9" s="4">
        <v>10</v>
      </c>
      <c r="G9" s="7">
        <f t="shared" si="1"/>
        <v>1393.92</v>
      </c>
      <c r="H9" s="7">
        <f t="shared" si="2"/>
        <v>250.90559999999999</v>
      </c>
      <c r="I9" s="8">
        <f t="shared" si="3"/>
        <v>16448.256000000001</v>
      </c>
      <c r="J9" s="9">
        <v>12</v>
      </c>
      <c r="K9" s="10">
        <v>7</v>
      </c>
      <c r="L9" s="10"/>
    </row>
    <row r="10" spans="1:12" s="22" customFormat="1" x14ac:dyDescent="0.3">
      <c r="A10" s="4">
        <v>9</v>
      </c>
      <c r="B10" s="26" t="s">
        <v>237</v>
      </c>
      <c r="C10" s="4" t="s">
        <v>251</v>
      </c>
      <c r="D10" s="5" t="s">
        <v>269</v>
      </c>
      <c r="E10" s="6" t="s">
        <v>6</v>
      </c>
      <c r="F10" s="4">
        <v>10</v>
      </c>
      <c r="G10" s="7">
        <f t="shared" si="1"/>
        <v>1393.92</v>
      </c>
      <c r="H10" s="7">
        <f t="shared" si="2"/>
        <v>250.90559999999999</v>
      </c>
      <c r="I10" s="8">
        <f t="shared" si="3"/>
        <v>16448.256000000001</v>
      </c>
      <c r="J10" s="9">
        <v>12</v>
      </c>
      <c r="K10" s="10">
        <v>7</v>
      </c>
      <c r="L10" s="10"/>
    </row>
    <row r="11" spans="1:12" s="22" customFormat="1" x14ac:dyDescent="0.3">
      <c r="A11" s="4">
        <v>10</v>
      </c>
      <c r="B11" s="26" t="s">
        <v>238</v>
      </c>
      <c r="C11" s="4" t="s">
        <v>252</v>
      </c>
      <c r="D11" s="5" t="s">
        <v>270</v>
      </c>
      <c r="E11" s="6" t="s">
        <v>6</v>
      </c>
      <c r="F11" s="4">
        <v>10</v>
      </c>
      <c r="G11" s="7">
        <f t="shared" si="1"/>
        <v>3252.48</v>
      </c>
      <c r="H11" s="7">
        <f t="shared" si="2"/>
        <v>585.44639999999993</v>
      </c>
      <c r="I11" s="8">
        <f t="shared" si="3"/>
        <v>38379.263999999996</v>
      </c>
      <c r="J11" s="9">
        <v>28</v>
      </c>
      <c r="K11" s="10">
        <v>18</v>
      </c>
      <c r="L11" s="10"/>
    </row>
    <row r="12" spans="1:12" s="22" customFormat="1" x14ac:dyDescent="0.3">
      <c r="A12" s="4">
        <v>11</v>
      </c>
      <c r="B12" s="26" t="s">
        <v>238</v>
      </c>
      <c r="C12" s="4" t="s">
        <v>252</v>
      </c>
      <c r="D12" s="5" t="s">
        <v>271</v>
      </c>
      <c r="E12" s="6" t="s">
        <v>6</v>
      </c>
      <c r="F12" s="4">
        <v>10</v>
      </c>
      <c r="G12" s="7">
        <f t="shared" si="1"/>
        <v>2555.52</v>
      </c>
      <c r="H12" s="7">
        <f t="shared" si="2"/>
        <v>459.99359999999996</v>
      </c>
      <c r="I12" s="8">
        <f t="shared" si="0"/>
        <v>30155.135999999999</v>
      </c>
      <c r="J12" s="9">
        <v>22</v>
      </c>
      <c r="K12" s="10">
        <v>12</v>
      </c>
      <c r="L12" s="10"/>
    </row>
    <row r="13" spans="1:12" s="22" customFormat="1" x14ac:dyDescent="0.3">
      <c r="A13" s="4">
        <v>12</v>
      </c>
      <c r="B13" s="26" t="s">
        <v>239</v>
      </c>
      <c r="C13" s="4" t="s">
        <v>253</v>
      </c>
      <c r="D13" s="5" t="s">
        <v>272</v>
      </c>
      <c r="E13" s="6" t="s">
        <v>6</v>
      </c>
      <c r="F13" s="4">
        <v>10</v>
      </c>
      <c r="G13" s="7">
        <f t="shared" si="1"/>
        <v>4646.4000000000005</v>
      </c>
      <c r="H13" s="7">
        <f t="shared" si="2"/>
        <v>836.35200000000009</v>
      </c>
      <c r="I13" s="8">
        <f t="shared" si="0"/>
        <v>54827.520000000004</v>
      </c>
      <c r="J13" s="9">
        <v>40</v>
      </c>
      <c r="K13" s="10"/>
      <c r="L13" s="10"/>
    </row>
    <row r="14" spans="1:12" s="22" customFormat="1" x14ac:dyDescent="0.3">
      <c r="A14" s="4">
        <v>13</v>
      </c>
      <c r="B14" s="26" t="s">
        <v>239</v>
      </c>
      <c r="C14" s="4" t="s">
        <v>254</v>
      </c>
      <c r="D14" s="5" t="s">
        <v>273</v>
      </c>
      <c r="E14" s="6" t="s">
        <v>6</v>
      </c>
      <c r="F14" s="4">
        <v>10</v>
      </c>
      <c r="G14" s="7">
        <f t="shared" si="1"/>
        <v>7898.88</v>
      </c>
      <c r="H14" s="7">
        <f t="shared" si="2"/>
        <v>1421.7983999999999</v>
      </c>
      <c r="I14" s="8">
        <f t="shared" si="0"/>
        <v>93206.784000000014</v>
      </c>
      <c r="J14" s="9">
        <v>68</v>
      </c>
      <c r="K14" s="10"/>
      <c r="L14" s="10"/>
    </row>
    <row r="15" spans="1:12" s="22" customFormat="1" x14ac:dyDescent="0.3">
      <c r="A15" s="4">
        <v>14</v>
      </c>
      <c r="B15" s="26" t="s">
        <v>240</v>
      </c>
      <c r="C15" s="4" t="s">
        <v>255</v>
      </c>
      <c r="D15" s="5" t="s">
        <v>274</v>
      </c>
      <c r="E15" s="6" t="s">
        <v>6</v>
      </c>
      <c r="F15" s="4">
        <v>10</v>
      </c>
      <c r="G15" s="7">
        <f t="shared" si="1"/>
        <v>1161.6000000000001</v>
      </c>
      <c r="H15" s="7">
        <f t="shared" si="2"/>
        <v>209.08800000000002</v>
      </c>
      <c r="I15" s="8">
        <f t="shared" ref="I15" si="4">F15*(G15+H15)</f>
        <v>13706.880000000001</v>
      </c>
      <c r="J15" s="9">
        <v>10</v>
      </c>
      <c r="K15" s="10">
        <v>4</v>
      </c>
      <c r="L15" s="10"/>
    </row>
    <row r="16" spans="1:12" s="22" customFormat="1" x14ac:dyDescent="0.3">
      <c r="A16" s="4">
        <v>15</v>
      </c>
      <c r="B16" s="26" t="s">
        <v>241</v>
      </c>
      <c r="C16" s="4" t="s">
        <v>256</v>
      </c>
      <c r="D16" s="5" t="s">
        <v>274</v>
      </c>
      <c r="E16" s="6" t="s">
        <v>6</v>
      </c>
      <c r="F16" s="4">
        <v>10</v>
      </c>
      <c r="G16" s="7">
        <f t="shared" si="1"/>
        <v>5227.2</v>
      </c>
      <c r="H16" s="7">
        <f t="shared" si="2"/>
        <v>940.89599999999996</v>
      </c>
      <c r="I16" s="8">
        <f>F16*(G16+H16)</f>
        <v>61680.959999999992</v>
      </c>
      <c r="J16" s="9">
        <v>45</v>
      </c>
      <c r="K16" s="10">
        <v>25</v>
      </c>
      <c r="L16" s="10"/>
    </row>
    <row r="17" spans="1:12" s="22" customFormat="1" ht="27.6" x14ac:dyDescent="0.3">
      <c r="A17" s="4">
        <v>16</v>
      </c>
      <c r="B17" s="26" t="s">
        <v>242</v>
      </c>
      <c r="C17" s="4" t="s">
        <v>257</v>
      </c>
      <c r="D17" s="5" t="s">
        <v>296</v>
      </c>
      <c r="E17" s="6" t="s">
        <v>6</v>
      </c>
      <c r="F17" s="4">
        <v>6</v>
      </c>
      <c r="G17" s="7">
        <f t="shared" si="1"/>
        <v>121968</v>
      </c>
      <c r="H17" s="7">
        <f t="shared" si="2"/>
        <v>21954.239999999998</v>
      </c>
      <c r="I17" s="8">
        <f>F17*(G17+H17)</f>
        <v>863533.44</v>
      </c>
      <c r="J17" s="9">
        <v>1050</v>
      </c>
      <c r="K17" s="10">
        <v>820</v>
      </c>
      <c r="L17" s="10"/>
    </row>
    <row r="18" spans="1:12" s="22" customFormat="1" x14ac:dyDescent="0.3">
      <c r="A18" s="4">
        <v>17</v>
      </c>
      <c r="B18" s="26" t="s">
        <v>243</v>
      </c>
      <c r="C18" s="4" t="s">
        <v>258</v>
      </c>
      <c r="D18" s="5" t="s">
        <v>275</v>
      </c>
      <c r="E18" s="6" t="s">
        <v>6</v>
      </c>
      <c r="F18" s="4">
        <v>10</v>
      </c>
      <c r="G18" s="7">
        <f t="shared" si="1"/>
        <v>2555.52</v>
      </c>
      <c r="H18" s="7">
        <f t="shared" si="2"/>
        <v>459.99359999999996</v>
      </c>
      <c r="I18" s="8">
        <f t="shared" ref="I18:I20" si="5">F18*(G18+H18)</f>
        <v>30155.135999999999</v>
      </c>
      <c r="J18" s="9">
        <v>22</v>
      </c>
      <c r="K18" s="10">
        <v>8</v>
      </c>
      <c r="L18" s="10"/>
    </row>
    <row r="19" spans="1:12" s="22" customFormat="1" x14ac:dyDescent="0.3">
      <c r="A19" s="4">
        <v>18</v>
      </c>
      <c r="B19" s="26" t="s">
        <v>244</v>
      </c>
      <c r="C19" s="4" t="s">
        <v>259</v>
      </c>
      <c r="D19" s="5" t="s">
        <v>280</v>
      </c>
      <c r="E19" s="6" t="s">
        <v>6</v>
      </c>
      <c r="F19" s="4">
        <v>12</v>
      </c>
      <c r="G19" s="7">
        <f t="shared" si="1"/>
        <v>580.80000000000007</v>
      </c>
      <c r="H19" s="7">
        <f t="shared" si="2"/>
        <v>104.54400000000001</v>
      </c>
      <c r="I19" s="8">
        <f t="shared" si="5"/>
        <v>8224.1280000000006</v>
      </c>
      <c r="J19" s="9">
        <v>5</v>
      </c>
      <c r="K19" s="10">
        <v>3</v>
      </c>
      <c r="L19" s="10"/>
    </row>
    <row r="20" spans="1:12" s="22" customFormat="1" x14ac:dyDescent="0.3">
      <c r="A20" s="4">
        <v>19</v>
      </c>
      <c r="B20" s="26" t="s">
        <v>245</v>
      </c>
      <c r="C20" s="4" t="s">
        <v>260</v>
      </c>
      <c r="D20" s="5" t="s">
        <v>276</v>
      </c>
      <c r="E20" s="6" t="s">
        <v>6</v>
      </c>
      <c r="F20" s="4">
        <v>12</v>
      </c>
      <c r="G20" s="7">
        <f t="shared" si="1"/>
        <v>929.28000000000009</v>
      </c>
      <c r="H20" s="7">
        <f t="shared" si="2"/>
        <v>167.27040000000002</v>
      </c>
      <c r="I20" s="8">
        <f t="shared" si="5"/>
        <v>13158.604800000001</v>
      </c>
      <c r="J20" s="9">
        <v>8</v>
      </c>
      <c r="K20" s="10">
        <v>1.5</v>
      </c>
      <c r="L20" s="10"/>
    </row>
    <row r="21" spans="1:12" s="22" customFormat="1" x14ac:dyDescent="0.3">
      <c r="A21" s="4">
        <v>20</v>
      </c>
      <c r="B21" s="26" t="s">
        <v>278</v>
      </c>
      <c r="C21" s="4" t="s">
        <v>279</v>
      </c>
      <c r="D21" s="5" t="s">
        <v>370</v>
      </c>
      <c r="E21" s="6" t="s">
        <v>6</v>
      </c>
      <c r="F21" s="4">
        <v>15</v>
      </c>
      <c r="G21" s="7">
        <f t="shared" si="1"/>
        <v>8131.2000000000007</v>
      </c>
      <c r="H21" s="7">
        <f t="shared" si="2"/>
        <v>1463.616</v>
      </c>
      <c r="I21" s="8">
        <f>F21*(G21+H21)</f>
        <v>143922.24000000002</v>
      </c>
      <c r="J21" s="9">
        <v>70</v>
      </c>
      <c r="K21" s="10">
        <v>52</v>
      </c>
      <c r="L21" s="10" t="s">
        <v>281</v>
      </c>
    </row>
    <row r="22" spans="1:12" s="22" customFormat="1" ht="55.2" x14ac:dyDescent="0.3">
      <c r="A22" s="4">
        <v>21</v>
      </c>
      <c r="B22" s="26" t="s">
        <v>239</v>
      </c>
      <c r="C22" s="4" t="s">
        <v>285</v>
      </c>
      <c r="D22" s="5" t="s">
        <v>286</v>
      </c>
      <c r="E22" s="6" t="s">
        <v>6</v>
      </c>
      <c r="F22" s="4">
        <v>20</v>
      </c>
      <c r="G22" s="7">
        <v>800</v>
      </c>
      <c r="H22" s="7">
        <f t="shared" si="2"/>
        <v>144</v>
      </c>
      <c r="I22" s="8">
        <f t="shared" ref="I22:I23" si="6">F22*(G22+H22)</f>
        <v>18880</v>
      </c>
      <c r="J22" s="9"/>
      <c r="K22" s="10"/>
      <c r="L22" s="10"/>
    </row>
    <row r="23" spans="1:12" s="22" customFormat="1" ht="41.4" x14ac:dyDescent="0.3">
      <c r="A23" s="4">
        <v>22</v>
      </c>
      <c r="B23" s="26" t="s">
        <v>239</v>
      </c>
      <c r="C23" s="4" t="s">
        <v>287</v>
      </c>
      <c r="D23" s="5" t="s">
        <v>288</v>
      </c>
      <c r="E23" s="6" t="s">
        <v>6</v>
      </c>
      <c r="F23" s="4">
        <v>20</v>
      </c>
      <c r="G23" s="7">
        <v>800</v>
      </c>
      <c r="H23" s="7">
        <f t="shared" si="2"/>
        <v>144</v>
      </c>
      <c r="I23" s="8">
        <f t="shared" si="6"/>
        <v>18880</v>
      </c>
      <c r="J23" s="9"/>
      <c r="K23" s="10"/>
      <c r="L23" s="10"/>
    </row>
    <row r="24" spans="1:12" s="22" customFormat="1" x14ac:dyDescent="0.3">
      <c r="A24" s="4">
        <v>23</v>
      </c>
      <c r="B24" s="26" t="s">
        <v>289</v>
      </c>
      <c r="C24" s="4" t="s">
        <v>162</v>
      </c>
      <c r="D24" s="5" t="s">
        <v>290</v>
      </c>
      <c r="E24" s="6" t="s">
        <v>6</v>
      </c>
      <c r="F24" s="4">
        <v>50</v>
      </c>
      <c r="G24" s="7">
        <v>814</v>
      </c>
      <c r="H24" s="7">
        <f t="shared" si="2"/>
        <v>146.51999999999998</v>
      </c>
      <c r="I24" s="8">
        <f t="shared" ref="I24:I27" si="7">F24*(G24+H24)</f>
        <v>48026</v>
      </c>
      <c r="J24" s="9"/>
      <c r="K24" s="10"/>
      <c r="L24" s="10"/>
    </row>
    <row r="25" spans="1:12" s="22" customFormat="1" x14ac:dyDescent="0.3">
      <c r="A25" s="4">
        <v>24</v>
      </c>
      <c r="B25" s="26" t="s">
        <v>291</v>
      </c>
      <c r="C25" s="4" t="s">
        <v>160</v>
      </c>
      <c r="D25" s="5" t="s">
        <v>290</v>
      </c>
      <c r="E25" s="6" t="s">
        <v>6</v>
      </c>
      <c r="F25" s="4">
        <v>50</v>
      </c>
      <c r="G25" s="7">
        <v>814</v>
      </c>
      <c r="H25" s="7">
        <f t="shared" si="2"/>
        <v>146.51999999999998</v>
      </c>
      <c r="I25" s="8">
        <f t="shared" si="7"/>
        <v>48026</v>
      </c>
      <c r="J25" s="9"/>
      <c r="K25" s="10"/>
      <c r="L25" s="10"/>
    </row>
    <row r="26" spans="1:12" s="22" customFormat="1" x14ac:dyDescent="0.3">
      <c r="A26" s="4">
        <v>25</v>
      </c>
      <c r="B26" s="26" t="s">
        <v>292</v>
      </c>
      <c r="C26" s="4" t="s">
        <v>163</v>
      </c>
      <c r="D26" s="5" t="s">
        <v>293</v>
      </c>
      <c r="E26" s="6" t="s">
        <v>6</v>
      </c>
      <c r="F26" s="4">
        <v>10</v>
      </c>
      <c r="G26" s="7">
        <v>1466</v>
      </c>
      <c r="H26" s="7">
        <f t="shared" si="2"/>
        <v>263.88</v>
      </c>
      <c r="I26" s="8">
        <f t="shared" si="7"/>
        <v>17298.800000000003</v>
      </c>
      <c r="J26" s="9"/>
      <c r="K26" s="10"/>
      <c r="L26" s="10"/>
    </row>
    <row r="27" spans="1:12" s="22" customFormat="1" x14ac:dyDescent="0.3">
      <c r="A27" s="4">
        <v>26</v>
      </c>
      <c r="B27" s="26" t="s">
        <v>294</v>
      </c>
      <c r="C27" s="4" t="s">
        <v>295</v>
      </c>
      <c r="D27" s="5" t="s">
        <v>87</v>
      </c>
      <c r="E27" s="6" t="s">
        <v>6</v>
      </c>
      <c r="F27" s="4">
        <v>10</v>
      </c>
      <c r="G27" s="7">
        <v>2450</v>
      </c>
      <c r="H27" s="7">
        <f t="shared" si="2"/>
        <v>441</v>
      </c>
      <c r="I27" s="8">
        <f t="shared" si="7"/>
        <v>28910</v>
      </c>
      <c r="J27" s="9"/>
      <c r="K27" s="10"/>
      <c r="L27" s="10"/>
    </row>
    <row r="28" spans="1:12" s="22" customFormat="1" x14ac:dyDescent="0.3">
      <c r="A28" s="4">
        <v>27</v>
      </c>
      <c r="B28" s="26" t="s">
        <v>282</v>
      </c>
      <c r="C28" s="4" t="s">
        <v>283</v>
      </c>
      <c r="D28" s="5" t="s">
        <v>284</v>
      </c>
      <c r="E28" s="6" t="s">
        <v>6</v>
      </c>
      <c r="F28" s="4">
        <v>18</v>
      </c>
      <c r="G28" s="7">
        <f t="shared" ref="G28" si="8">J28*88*1.32</f>
        <v>12777.6</v>
      </c>
      <c r="H28" s="7">
        <f t="shared" si="2"/>
        <v>2299.9679999999998</v>
      </c>
      <c r="I28" s="8">
        <f>F28*(G28+H28)</f>
        <v>271396.22399999999</v>
      </c>
      <c r="J28" s="9">
        <v>110</v>
      </c>
      <c r="K28" s="10">
        <v>68</v>
      </c>
      <c r="L28" s="10"/>
    </row>
    <row r="29" spans="1:12" s="22" customFormat="1" x14ac:dyDescent="0.3">
      <c r="A29" s="4">
        <v>28</v>
      </c>
      <c r="B29" s="26" t="s">
        <v>298</v>
      </c>
      <c r="C29" s="4" t="s">
        <v>300</v>
      </c>
      <c r="D29" s="5" t="s">
        <v>302</v>
      </c>
      <c r="E29" s="6" t="s">
        <v>6</v>
      </c>
      <c r="F29" s="4">
        <v>12</v>
      </c>
      <c r="G29" s="7">
        <f t="shared" ref="G29:G30" si="9">J29*88*1.32</f>
        <v>58080</v>
      </c>
      <c r="H29" s="7">
        <f t="shared" ref="H29:H30" si="10">G29*18%</f>
        <v>10454.4</v>
      </c>
      <c r="I29" s="8">
        <f t="shared" ref="I29" si="11">F29*(G29+H29)</f>
        <v>822412.79999999993</v>
      </c>
      <c r="J29" s="9">
        <v>500</v>
      </c>
      <c r="K29" s="10">
        <v>325</v>
      </c>
      <c r="L29" s="10"/>
    </row>
    <row r="30" spans="1:12" s="22" customFormat="1" x14ac:dyDescent="0.3">
      <c r="A30" s="4">
        <v>29</v>
      </c>
      <c r="B30" s="26" t="s">
        <v>299</v>
      </c>
      <c r="C30" s="4" t="s">
        <v>301</v>
      </c>
      <c r="D30" s="5" t="s">
        <v>302</v>
      </c>
      <c r="E30" s="6" t="s">
        <v>6</v>
      </c>
      <c r="F30" s="4">
        <v>30</v>
      </c>
      <c r="G30" s="7">
        <f t="shared" si="9"/>
        <v>5227.2</v>
      </c>
      <c r="H30" s="7">
        <f t="shared" si="10"/>
        <v>940.89599999999996</v>
      </c>
      <c r="I30" s="8">
        <f>F30*(G30+H30)</f>
        <v>185042.87999999998</v>
      </c>
      <c r="J30" s="9">
        <v>45</v>
      </c>
      <c r="K30" s="10">
        <v>25</v>
      </c>
      <c r="L30" s="10"/>
    </row>
    <row r="31" spans="1:12" s="22" customFormat="1" x14ac:dyDescent="0.3">
      <c r="A31" s="4">
        <v>30</v>
      </c>
      <c r="B31" s="26" t="s">
        <v>309</v>
      </c>
      <c r="C31" s="4" t="s">
        <v>310</v>
      </c>
      <c r="D31" s="5" t="s">
        <v>302</v>
      </c>
      <c r="E31" s="6" t="s">
        <v>6</v>
      </c>
      <c r="F31" s="4">
        <v>5</v>
      </c>
      <c r="G31" s="7">
        <f>J31*88*1.35</f>
        <v>26136</v>
      </c>
      <c r="H31" s="7">
        <f t="shared" si="2"/>
        <v>4704.4799999999996</v>
      </c>
      <c r="I31" s="8">
        <f t="shared" si="0"/>
        <v>154202.4</v>
      </c>
      <c r="J31" s="9">
        <v>220</v>
      </c>
      <c r="K31" s="10">
        <v>191</v>
      </c>
      <c r="L31" s="10"/>
    </row>
    <row r="32" spans="1:12" s="22" customFormat="1" x14ac:dyDescent="0.3">
      <c r="A32" s="4">
        <v>31</v>
      </c>
      <c r="B32" s="26" t="s">
        <v>309</v>
      </c>
      <c r="C32" s="4" t="s">
        <v>311</v>
      </c>
      <c r="D32" s="5" t="s">
        <v>302</v>
      </c>
      <c r="E32" s="6" t="s">
        <v>6</v>
      </c>
      <c r="F32" s="4">
        <v>5</v>
      </c>
      <c r="G32" s="7">
        <f>J32*88*1.35</f>
        <v>26136</v>
      </c>
      <c r="H32" s="7">
        <f t="shared" si="2"/>
        <v>4704.4799999999996</v>
      </c>
      <c r="I32" s="8">
        <f>F32*(G32+H32)</f>
        <v>154202.4</v>
      </c>
      <c r="J32" s="9">
        <v>220</v>
      </c>
      <c r="K32" s="10">
        <v>191</v>
      </c>
      <c r="L32" s="10"/>
    </row>
    <row r="33" spans="1:13" s="22" customFormat="1" x14ac:dyDescent="0.3">
      <c r="A33" s="93"/>
      <c r="B33" s="94"/>
      <c r="C33" s="94"/>
      <c r="D33" s="94"/>
      <c r="E33" s="94"/>
      <c r="F33" s="94"/>
      <c r="G33" s="94"/>
      <c r="H33" s="94"/>
      <c r="I33" s="95"/>
      <c r="J33" s="3"/>
      <c r="K33" s="12"/>
      <c r="L33" s="3"/>
    </row>
    <row r="34" spans="1:13" s="22" customFormat="1" ht="151.80000000000001" x14ac:dyDescent="0.3">
      <c r="A34" s="13" t="s">
        <v>9</v>
      </c>
      <c r="B34" s="84" t="s">
        <v>312</v>
      </c>
      <c r="C34" s="85"/>
      <c r="D34" s="85"/>
      <c r="E34" s="85"/>
      <c r="F34" s="85"/>
      <c r="G34" s="85"/>
      <c r="H34" s="85"/>
      <c r="I34" s="86"/>
      <c r="J34" s="25"/>
      <c r="K34" s="33"/>
      <c r="L34" s="3"/>
      <c r="M34" s="24"/>
    </row>
  </sheetData>
  <mergeCells count="2">
    <mergeCell ref="A33:I33"/>
    <mergeCell ref="B34:I3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4"/>
  <sheetViews>
    <sheetView workbookViewId="0">
      <selection activeCell="D2" sqref="D2"/>
    </sheetView>
  </sheetViews>
  <sheetFormatPr defaultColWidth="9.109375" defaultRowHeight="13.8" x14ac:dyDescent="0.3"/>
  <cols>
    <col min="1" max="1" width="5.88671875" style="3" bestFit="1" customWidth="1"/>
    <col min="2" max="2" width="27.109375" style="3" customWidth="1"/>
    <col min="3" max="3" width="12.33203125" style="3" customWidth="1"/>
    <col min="4" max="4" width="30.109375" style="3" customWidth="1"/>
    <col min="5" max="5" width="5" style="3" bestFit="1" customWidth="1"/>
    <col min="6" max="6" width="4" style="3" bestFit="1" customWidth="1"/>
    <col min="7" max="8" width="13.33203125" style="3" bestFit="1" customWidth="1"/>
    <col min="9" max="9" width="16.5546875" style="3" bestFit="1" customWidth="1"/>
    <col min="10" max="10" width="9.109375" style="3"/>
    <col min="11" max="11" width="14" style="12" bestFit="1" customWidth="1"/>
    <col min="12" max="12" width="19.5546875" style="3" customWidth="1"/>
    <col min="13" max="13" width="11.33203125" style="22" bestFit="1" customWidth="1"/>
    <col min="14" max="14" width="10.44140625" style="22" bestFit="1" customWidth="1"/>
    <col min="15" max="16384" width="9.109375" style="3"/>
  </cols>
  <sheetData>
    <row r="1" spans="1:13" s="22" customFormat="1" ht="27.6" x14ac:dyDescent="0.3">
      <c r="A1" s="27" t="s">
        <v>0</v>
      </c>
      <c r="B1" s="2" t="s">
        <v>144</v>
      </c>
      <c r="C1" s="2" t="s">
        <v>143</v>
      </c>
      <c r="D1" s="2" t="s">
        <v>1</v>
      </c>
      <c r="E1" s="2" t="s">
        <v>2</v>
      </c>
      <c r="F1" s="2" t="s">
        <v>55</v>
      </c>
      <c r="G1" s="27" t="s">
        <v>3</v>
      </c>
      <c r="H1" s="27" t="s">
        <v>56</v>
      </c>
      <c r="I1" s="27" t="s">
        <v>4</v>
      </c>
      <c r="J1" s="3" t="s">
        <v>5</v>
      </c>
      <c r="K1" s="3" t="s">
        <v>86</v>
      </c>
      <c r="L1" s="3" t="s">
        <v>176</v>
      </c>
    </row>
    <row r="2" spans="1:13" s="22" customFormat="1" ht="26.1" customHeight="1" x14ac:dyDescent="0.3">
      <c r="A2" s="6">
        <v>1</v>
      </c>
      <c r="B2" s="31" t="s">
        <v>87</v>
      </c>
      <c r="C2" s="6" t="s">
        <v>303</v>
      </c>
      <c r="D2" s="5" t="s">
        <v>304</v>
      </c>
      <c r="E2" s="6" t="s">
        <v>89</v>
      </c>
      <c r="F2" s="6">
        <v>10</v>
      </c>
      <c r="G2" s="28">
        <v>1450</v>
      </c>
      <c r="H2" s="28">
        <f t="shared" ref="H2" si="0">G2*18%</f>
        <v>261</v>
      </c>
      <c r="I2" s="29">
        <f t="shared" ref="I2" si="1">F2*(G2+H2)</f>
        <v>17110</v>
      </c>
      <c r="J2" s="9"/>
      <c r="K2" s="10">
        <v>7.5</v>
      </c>
      <c r="L2" s="10"/>
    </row>
    <row r="3" spans="1:13" s="22" customFormat="1" x14ac:dyDescent="0.3">
      <c r="A3" s="107"/>
      <c r="B3" s="108"/>
      <c r="C3" s="108"/>
      <c r="D3" s="108"/>
      <c r="E3" s="108"/>
      <c r="F3" s="108"/>
      <c r="G3" s="108"/>
      <c r="H3" s="108"/>
      <c r="I3" s="109"/>
      <c r="J3" s="3"/>
      <c r="K3" s="12"/>
      <c r="L3" s="3"/>
    </row>
    <row r="4" spans="1:13" s="22" customFormat="1" ht="157.5" customHeight="1" x14ac:dyDescent="0.3">
      <c r="A4" s="13" t="s">
        <v>9</v>
      </c>
      <c r="B4" s="84" t="s">
        <v>305</v>
      </c>
      <c r="C4" s="85"/>
      <c r="D4" s="85"/>
      <c r="E4" s="85"/>
      <c r="F4" s="85"/>
      <c r="G4" s="85"/>
      <c r="H4" s="85"/>
      <c r="I4" s="86"/>
      <c r="J4" s="25"/>
      <c r="K4" s="25"/>
      <c r="L4" s="3"/>
      <c r="M4" s="24"/>
    </row>
  </sheetData>
  <mergeCells count="2">
    <mergeCell ref="A3:I3"/>
    <mergeCell ref="B4:I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6"/>
  <sheetViews>
    <sheetView workbookViewId="0">
      <selection activeCell="F2" sqref="F2"/>
    </sheetView>
  </sheetViews>
  <sheetFormatPr defaultColWidth="9.109375" defaultRowHeight="13.8" x14ac:dyDescent="0.3"/>
  <cols>
    <col min="1" max="1" width="5.88671875" style="3" bestFit="1" customWidth="1"/>
    <col min="2" max="2" width="27.109375" style="3" customWidth="1"/>
    <col min="3" max="3" width="30.109375" style="3" customWidth="1"/>
    <col min="4" max="4" width="5" style="3" bestFit="1" customWidth="1"/>
    <col min="5" max="5" width="4" style="3" bestFit="1" customWidth="1"/>
    <col min="6" max="7" width="13.33203125" style="3" bestFit="1" customWidth="1"/>
    <col min="8" max="8" width="16.5546875" style="3" bestFit="1" customWidth="1"/>
    <col min="9" max="9" width="9.109375" style="3"/>
    <col min="10" max="10" width="14" style="12" bestFit="1" customWidth="1"/>
    <col min="11" max="11" width="19.5546875" style="3" customWidth="1"/>
    <col min="12" max="12" width="11.33203125" style="22" bestFit="1" customWidth="1"/>
    <col min="13" max="13" width="10.44140625" style="22" bestFit="1" customWidth="1"/>
    <col min="14" max="16384" width="9.109375" style="3"/>
  </cols>
  <sheetData>
    <row r="1" spans="1:12" s="22" customFormat="1" ht="27.6" x14ac:dyDescent="0.3">
      <c r="A1" s="27" t="s">
        <v>0</v>
      </c>
      <c r="B1" s="2" t="s">
        <v>144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60</v>
      </c>
      <c r="K1" s="3" t="s">
        <v>176</v>
      </c>
    </row>
    <row r="2" spans="1:12" s="22" customFormat="1" ht="60" customHeight="1" x14ac:dyDescent="0.3">
      <c r="A2" s="6">
        <v>1</v>
      </c>
      <c r="B2" s="31" t="s">
        <v>306</v>
      </c>
      <c r="C2" s="5" t="s">
        <v>307</v>
      </c>
      <c r="D2" s="6" t="s">
        <v>89</v>
      </c>
      <c r="E2" s="6">
        <v>10</v>
      </c>
      <c r="F2" s="28">
        <f>I2*88*1.35</f>
        <v>26136</v>
      </c>
      <c r="G2" s="28">
        <f t="shared" ref="G2" si="0">F2*18%</f>
        <v>4704.4799999999996</v>
      </c>
      <c r="H2" s="29">
        <f t="shared" ref="H2" si="1">E2*(F2+G2)</f>
        <v>308404.8</v>
      </c>
      <c r="I2" s="9">
        <v>220</v>
      </c>
      <c r="J2" s="10">
        <f>42+149</f>
        <v>191</v>
      </c>
      <c r="K2" s="10"/>
    </row>
    <row r="3" spans="1:12" s="22" customFormat="1" ht="60" customHeight="1" x14ac:dyDescent="0.3">
      <c r="A3" s="6">
        <v>2</v>
      </c>
      <c r="B3" s="31" t="s">
        <v>306</v>
      </c>
      <c r="C3" s="5" t="s">
        <v>308</v>
      </c>
      <c r="D3" s="6" t="s">
        <v>89</v>
      </c>
      <c r="E3" s="6">
        <v>10</v>
      </c>
      <c r="F3" s="28">
        <f>I3*88*1.35</f>
        <v>26136</v>
      </c>
      <c r="G3" s="28">
        <f t="shared" ref="G3" si="2">F3*18%</f>
        <v>4704.4799999999996</v>
      </c>
      <c r="H3" s="29">
        <f t="shared" ref="H3" si="3">E3*(F3+G3)</f>
        <v>308404.8</v>
      </c>
      <c r="I3" s="9">
        <v>220</v>
      </c>
      <c r="J3" s="10">
        <f>42+149</f>
        <v>191</v>
      </c>
      <c r="K3" s="10"/>
    </row>
    <row r="4" spans="1:12" s="22" customFormat="1" x14ac:dyDescent="0.3">
      <c r="A4" s="107"/>
      <c r="B4" s="108"/>
      <c r="C4" s="108"/>
      <c r="D4" s="108"/>
      <c r="E4" s="108"/>
      <c r="F4" s="108"/>
      <c r="G4" s="108"/>
      <c r="H4" s="109"/>
      <c r="I4" s="3"/>
      <c r="J4" s="12"/>
      <c r="K4" s="3"/>
    </row>
    <row r="5" spans="1:12" s="22" customFormat="1" ht="157.5" customHeight="1" x14ac:dyDescent="0.3">
      <c r="A5" s="13" t="s">
        <v>9</v>
      </c>
      <c r="B5" s="84" t="s">
        <v>305</v>
      </c>
      <c r="C5" s="85"/>
      <c r="D5" s="85"/>
      <c r="E5" s="85"/>
      <c r="F5" s="85"/>
      <c r="G5" s="85"/>
      <c r="H5" s="86"/>
      <c r="I5" s="25"/>
      <c r="J5" s="25"/>
      <c r="K5" s="5"/>
      <c r="L5" s="24"/>
    </row>
    <row r="6" spans="1:12" x14ac:dyDescent="0.3">
      <c r="K6" s="5"/>
    </row>
  </sheetData>
  <mergeCells count="2">
    <mergeCell ref="A4:H4"/>
    <mergeCell ref="B5:H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6"/>
  <sheetViews>
    <sheetView workbookViewId="0">
      <selection sqref="A1:H5"/>
    </sheetView>
  </sheetViews>
  <sheetFormatPr defaultColWidth="9.109375" defaultRowHeight="13.8" x14ac:dyDescent="0.3"/>
  <cols>
    <col min="1" max="1" width="5.88671875" style="3" bestFit="1" customWidth="1"/>
    <col min="2" max="2" width="27.109375" style="3" customWidth="1"/>
    <col min="3" max="3" width="30.109375" style="3" customWidth="1"/>
    <col min="4" max="4" width="5" style="3" bestFit="1" customWidth="1"/>
    <col min="5" max="5" width="4" style="3" bestFit="1" customWidth="1"/>
    <col min="6" max="7" width="13.33203125" style="3" bestFit="1" customWidth="1"/>
    <col min="8" max="8" width="16.5546875" style="3" bestFit="1" customWidth="1"/>
    <col min="9" max="9" width="9.109375" style="3"/>
    <col min="10" max="10" width="14" style="12" bestFit="1" customWidth="1"/>
    <col min="11" max="11" width="19.5546875" style="3" customWidth="1"/>
    <col min="12" max="12" width="11.33203125" style="22" bestFit="1" customWidth="1"/>
    <col min="13" max="13" width="10.44140625" style="22" bestFit="1" customWidth="1"/>
    <col min="14" max="16384" width="9.109375" style="3"/>
  </cols>
  <sheetData>
    <row r="1" spans="1:12" s="22" customFormat="1" ht="27.6" x14ac:dyDescent="0.3">
      <c r="A1" s="27" t="s">
        <v>0</v>
      </c>
      <c r="B1" s="2" t="s">
        <v>144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86</v>
      </c>
      <c r="K1" s="34" t="s">
        <v>315</v>
      </c>
    </row>
    <row r="2" spans="1:12" s="22" customFormat="1" ht="60" customHeight="1" x14ac:dyDescent="0.3">
      <c r="A2" s="6">
        <v>1</v>
      </c>
      <c r="B2" s="35" t="s">
        <v>313</v>
      </c>
      <c r="C2" s="5" t="s">
        <v>314</v>
      </c>
      <c r="D2" s="6" t="s">
        <v>89</v>
      </c>
      <c r="E2" s="6">
        <v>8</v>
      </c>
      <c r="F2" s="28">
        <f>I2*88*1.35</f>
        <v>31600.800000000003</v>
      </c>
      <c r="G2" s="28">
        <f>F2*18%</f>
        <v>5688.1440000000002</v>
      </c>
      <c r="H2" s="29">
        <f>E2*(F2+G2)</f>
        <v>298311.55200000003</v>
      </c>
      <c r="I2" s="9">
        <v>266</v>
      </c>
      <c r="J2" s="10"/>
      <c r="K2" s="10">
        <f>366*0.7</f>
        <v>256.2</v>
      </c>
    </row>
    <row r="3" spans="1:12" s="22" customFormat="1" ht="42.9" customHeight="1" x14ac:dyDescent="0.3">
      <c r="A3" s="6">
        <v>2</v>
      </c>
      <c r="B3" s="5" t="s">
        <v>316</v>
      </c>
      <c r="C3" s="5" t="s">
        <v>317</v>
      </c>
      <c r="D3" s="6" t="s">
        <v>89</v>
      </c>
      <c r="E3" s="6">
        <v>10</v>
      </c>
      <c r="F3" s="28">
        <f>I3*88*1.35</f>
        <v>16632</v>
      </c>
      <c r="G3" s="28">
        <f>F3*18%</f>
        <v>2993.7599999999998</v>
      </c>
      <c r="H3" s="29">
        <f>E3*(F3+G3)</f>
        <v>196257.59999999998</v>
      </c>
      <c r="I3" s="9">
        <v>140</v>
      </c>
      <c r="J3" s="10">
        <v>125</v>
      </c>
      <c r="K3" s="10">
        <f>198*0.7</f>
        <v>138.6</v>
      </c>
    </row>
    <row r="4" spans="1:12" s="22" customFormat="1" x14ac:dyDescent="0.3">
      <c r="A4" s="107"/>
      <c r="B4" s="108"/>
      <c r="C4" s="108"/>
      <c r="D4" s="108"/>
      <c r="E4" s="108"/>
      <c r="F4" s="108"/>
      <c r="G4" s="108"/>
      <c r="H4" s="109"/>
      <c r="I4" s="3"/>
      <c r="J4" s="12"/>
      <c r="K4" s="3"/>
    </row>
    <row r="5" spans="1:12" s="22" customFormat="1" ht="157.5" customHeight="1" x14ac:dyDescent="0.3">
      <c r="A5" s="13" t="s">
        <v>9</v>
      </c>
      <c r="B5" s="84" t="s">
        <v>305</v>
      </c>
      <c r="C5" s="85"/>
      <c r="D5" s="85"/>
      <c r="E5" s="85"/>
      <c r="F5" s="85"/>
      <c r="G5" s="85"/>
      <c r="H5" s="86"/>
      <c r="I5" s="25"/>
      <c r="J5" s="25"/>
      <c r="K5" s="5"/>
      <c r="L5" s="24"/>
    </row>
    <row r="6" spans="1:12" x14ac:dyDescent="0.3">
      <c r="K6" s="5"/>
    </row>
  </sheetData>
  <sortState xmlns:xlrd2="http://schemas.microsoft.com/office/spreadsheetml/2017/richdata2" ref="A2:K3">
    <sortCondition ref="C3"/>
  </sortState>
  <mergeCells count="2">
    <mergeCell ref="A4:H4"/>
    <mergeCell ref="B5:H5"/>
  </mergeCells>
  <hyperlinks>
    <hyperlink ref="K1" r:id="rId1" xr:uid="{00000000-0004-0000-1700-000000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5"/>
  <sheetViews>
    <sheetView workbookViewId="0">
      <selection activeCell="B4" sqref="B4:H4"/>
    </sheetView>
  </sheetViews>
  <sheetFormatPr defaultColWidth="9.109375" defaultRowHeight="13.8" x14ac:dyDescent="0.3"/>
  <cols>
    <col min="1" max="1" width="5.88671875" style="3" bestFit="1" customWidth="1"/>
    <col min="2" max="2" width="27.109375" style="3" customWidth="1"/>
    <col min="3" max="3" width="30.109375" style="3" customWidth="1"/>
    <col min="4" max="4" width="5" style="3" bestFit="1" customWidth="1"/>
    <col min="5" max="5" width="4" style="3" bestFit="1" customWidth="1"/>
    <col min="6" max="7" width="13.33203125" style="3" bestFit="1" customWidth="1"/>
    <col min="8" max="8" width="16.5546875" style="3" bestFit="1" customWidth="1"/>
    <col min="9" max="9" width="9.109375" style="3"/>
    <col min="10" max="10" width="14" style="12" bestFit="1" customWidth="1"/>
    <col min="11" max="11" width="19.5546875" style="3" customWidth="1"/>
    <col min="12" max="12" width="11.33203125" style="22" bestFit="1" customWidth="1"/>
    <col min="13" max="13" width="10.44140625" style="22" bestFit="1" customWidth="1"/>
    <col min="14" max="16384" width="9.109375" style="3"/>
  </cols>
  <sheetData>
    <row r="1" spans="1:12" s="22" customFormat="1" ht="27.6" x14ac:dyDescent="0.3">
      <c r="A1" s="27" t="s">
        <v>0</v>
      </c>
      <c r="B1" s="2" t="s">
        <v>144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86</v>
      </c>
      <c r="K1" s="34"/>
    </row>
    <row r="2" spans="1:12" s="22" customFormat="1" ht="60" customHeight="1" x14ac:dyDescent="0.3">
      <c r="A2" s="6">
        <v>1</v>
      </c>
      <c r="B2" s="35" t="s">
        <v>318</v>
      </c>
      <c r="C2" s="5" t="s">
        <v>319</v>
      </c>
      <c r="D2" s="6" t="s">
        <v>89</v>
      </c>
      <c r="E2" s="6">
        <v>4</v>
      </c>
      <c r="F2" s="28">
        <f>I2*88*1.35</f>
        <v>65340.000000000007</v>
      </c>
      <c r="G2" s="28">
        <f>F2*18%</f>
        <v>11761.2</v>
      </c>
      <c r="H2" s="29">
        <f>E2*(F2+G2)</f>
        <v>308404.80000000005</v>
      </c>
      <c r="I2" s="9">
        <v>550</v>
      </c>
      <c r="J2" s="10">
        <v>480</v>
      </c>
      <c r="K2" s="10"/>
    </row>
    <row r="3" spans="1:12" s="22" customFormat="1" x14ac:dyDescent="0.3">
      <c r="A3" s="107"/>
      <c r="B3" s="108"/>
      <c r="C3" s="108"/>
      <c r="D3" s="108"/>
      <c r="E3" s="108"/>
      <c r="F3" s="108"/>
      <c r="G3" s="108"/>
      <c r="H3" s="109"/>
      <c r="I3" s="3"/>
      <c r="J3" s="12"/>
      <c r="K3" s="3"/>
    </row>
    <row r="4" spans="1:12" s="22" customFormat="1" ht="157.5" customHeight="1" x14ac:dyDescent="0.3">
      <c r="A4" s="13" t="s">
        <v>9</v>
      </c>
      <c r="B4" s="84" t="s">
        <v>320</v>
      </c>
      <c r="C4" s="85"/>
      <c r="D4" s="85"/>
      <c r="E4" s="85"/>
      <c r="F4" s="85"/>
      <c r="G4" s="85"/>
      <c r="H4" s="86"/>
      <c r="I4" s="25"/>
      <c r="J4" s="25"/>
      <c r="K4" s="5"/>
      <c r="L4" s="24"/>
    </row>
    <row r="5" spans="1:12" s="22" customFormat="1" x14ac:dyDescent="0.3">
      <c r="A5" s="3"/>
      <c r="B5" s="3"/>
      <c r="C5" s="3"/>
      <c r="D5" s="3"/>
      <c r="E5" s="3"/>
      <c r="F5" s="3"/>
      <c r="G5" s="3"/>
      <c r="H5" s="3"/>
      <c r="I5" s="3"/>
      <c r="J5" s="12"/>
      <c r="K5" s="5"/>
    </row>
  </sheetData>
  <mergeCells count="2">
    <mergeCell ref="A3:H3"/>
    <mergeCell ref="B4:H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29"/>
  <sheetViews>
    <sheetView topLeftCell="A9" workbookViewId="0">
      <selection activeCell="G15" sqref="G15"/>
    </sheetView>
  </sheetViews>
  <sheetFormatPr defaultColWidth="9.109375" defaultRowHeight="13.8" x14ac:dyDescent="0.3"/>
  <cols>
    <col min="1" max="1" width="5.88671875" style="3" bestFit="1" customWidth="1"/>
    <col min="2" max="2" width="15.5546875" style="3" customWidth="1"/>
    <col min="3" max="3" width="9.88671875" style="3" bestFit="1" customWidth="1"/>
    <col min="4" max="4" width="48.5546875" style="3" customWidth="1"/>
    <col min="5" max="5" width="5" style="3" bestFit="1" customWidth="1"/>
    <col min="6" max="6" width="6.33203125" style="3" bestFit="1" customWidth="1"/>
    <col min="7" max="7" width="13.33203125" style="3" bestFit="1" customWidth="1"/>
    <col min="8" max="8" width="16.5546875" style="3" bestFit="1" customWidth="1"/>
    <col min="9" max="9" width="12.5546875" style="3" bestFit="1" customWidth="1"/>
    <col min="10" max="10" width="14" style="12" bestFit="1" customWidth="1"/>
    <col min="11" max="11" width="19.5546875" style="15" customWidth="1"/>
    <col min="12" max="12" width="9.109375" style="3"/>
    <col min="13" max="13" width="11.44140625" style="3" bestFit="1" customWidth="1"/>
    <col min="14" max="16384" width="9.109375" style="3"/>
  </cols>
  <sheetData>
    <row r="1" spans="1:13" ht="27.6" x14ac:dyDescent="0.3">
      <c r="A1" s="1" t="s">
        <v>0</v>
      </c>
      <c r="B1" s="1" t="s">
        <v>1</v>
      </c>
      <c r="C1" s="2" t="s">
        <v>333</v>
      </c>
      <c r="D1" s="1" t="s">
        <v>321</v>
      </c>
      <c r="E1" s="2" t="s">
        <v>2</v>
      </c>
      <c r="F1" s="2" t="s">
        <v>84</v>
      </c>
      <c r="G1" s="1" t="s">
        <v>3</v>
      </c>
      <c r="H1" s="1" t="s">
        <v>4</v>
      </c>
      <c r="J1" s="3" t="s">
        <v>86</v>
      </c>
      <c r="K1" s="37" t="s">
        <v>297</v>
      </c>
      <c r="L1" s="3" t="s">
        <v>297</v>
      </c>
    </row>
    <row r="2" spans="1:13" ht="41.4" x14ac:dyDescent="0.3">
      <c r="A2" s="4">
        <v>1</v>
      </c>
      <c r="B2" s="14" t="s">
        <v>323</v>
      </c>
      <c r="C2" s="87" t="s">
        <v>334</v>
      </c>
      <c r="D2" s="16" t="s">
        <v>322</v>
      </c>
      <c r="E2" s="6" t="s">
        <v>89</v>
      </c>
      <c r="F2" s="4">
        <v>10</v>
      </c>
      <c r="G2" s="7">
        <f>I2*88*1.35</f>
        <v>28096.200000000008</v>
      </c>
      <c r="H2" s="8">
        <f t="shared" ref="H2:H5" si="0">G2*F2</f>
        <v>280962.00000000006</v>
      </c>
      <c r="I2" s="9">
        <f>J2*1.1</f>
        <v>236.50000000000003</v>
      </c>
      <c r="J2" s="10">
        <v>215</v>
      </c>
      <c r="K2" s="36">
        <v>36729</v>
      </c>
      <c r="L2" s="19"/>
      <c r="M2" s="15"/>
    </row>
    <row r="3" spans="1:13" ht="41.4" x14ac:dyDescent="0.3">
      <c r="A3" s="4">
        <v>2</v>
      </c>
      <c r="B3" s="14" t="s">
        <v>324</v>
      </c>
      <c r="C3" s="88"/>
      <c r="D3" s="16" t="s">
        <v>322</v>
      </c>
      <c r="E3" s="6" t="s">
        <v>89</v>
      </c>
      <c r="F3" s="4">
        <v>10</v>
      </c>
      <c r="G3" s="7">
        <f t="shared" ref="G3:G19" si="1">I3*88*1.35</f>
        <v>12414.600000000004</v>
      </c>
      <c r="H3" s="8">
        <f t="shared" si="0"/>
        <v>124146.00000000004</v>
      </c>
      <c r="I3" s="9">
        <f t="shared" ref="I3:I19" si="2">J3*1.1</f>
        <v>104.50000000000001</v>
      </c>
      <c r="J3" s="10">
        <v>95</v>
      </c>
      <c r="K3" s="36">
        <v>24809</v>
      </c>
      <c r="L3" s="19"/>
      <c r="M3" s="15"/>
    </row>
    <row r="4" spans="1:13" ht="41.4" x14ac:dyDescent="0.3">
      <c r="A4" s="4">
        <v>3</v>
      </c>
      <c r="B4" s="14" t="s">
        <v>330</v>
      </c>
      <c r="C4" s="89"/>
      <c r="D4" s="16" t="s">
        <v>322</v>
      </c>
      <c r="E4" s="6" t="s">
        <v>89</v>
      </c>
      <c r="F4" s="4">
        <v>2</v>
      </c>
      <c r="G4" s="7">
        <f t="shared" si="1"/>
        <v>65340.000000000007</v>
      </c>
      <c r="H4" s="8">
        <f t="shared" si="0"/>
        <v>130680.00000000001</v>
      </c>
      <c r="I4" s="9">
        <f>J4</f>
        <v>550</v>
      </c>
      <c r="J4" s="10">
        <v>550</v>
      </c>
      <c r="K4" s="36">
        <v>52500</v>
      </c>
      <c r="L4" s="19"/>
      <c r="M4" s="15"/>
    </row>
    <row r="5" spans="1:13" ht="41.4" x14ac:dyDescent="0.3">
      <c r="A5" s="4">
        <v>4</v>
      </c>
      <c r="B5" s="14" t="s">
        <v>323</v>
      </c>
      <c r="C5" s="87" t="s">
        <v>335</v>
      </c>
      <c r="D5" s="16" t="s">
        <v>325</v>
      </c>
      <c r="E5" s="6" t="s">
        <v>89</v>
      </c>
      <c r="F5" s="4">
        <v>10</v>
      </c>
      <c r="G5" s="7">
        <f t="shared" si="1"/>
        <v>26789.400000000005</v>
      </c>
      <c r="H5" s="8">
        <f t="shared" si="0"/>
        <v>267894.00000000006</v>
      </c>
      <c r="I5" s="9">
        <f t="shared" si="2"/>
        <v>225.50000000000003</v>
      </c>
      <c r="J5" s="10">
        <v>205</v>
      </c>
      <c r="K5" s="36">
        <v>51836</v>
      </c>
      <c r="L5" s="19"/>
      <c r="M5" s="15"/>
    </row>
    <row r="6" spans="1:13" ht="41.4" x14ac:dyDescent="0.3">
      <c r="A6" s="4">
        <v>5</v>
      </c>
      <c r="B6" s="14" t="s">
        <v>324</v>
      </c>
      <c r="C6" s="88"/>
      <c r="D6" s="16" t="s">
        <v>325</v>
      </c>
      <c r="E6" s="6" t="s">
        <v>89</v>
      </c>
      <c r="F6" s="4">
        <v>10</v>
      </c>
      <c r="G6" s="7">
        <f t="shared" si="1"/>
        <v>12414.600000000004</v>
      </c>
      <c r="H6" s="8">
        <f t="shared" ref="H6:H16" si="3">G6*F6</f>
        <v>124146.00000000004</v>
      </c>
      <c r="I6" s="9">
        <f t="shared" si="2"/>
        <v>104.50000000000001</v>
      </c>
      <c r="J6" s="10">
        <v>95</v>
      </c>
      <c r="K6" s="36">
        <v>34054</v>
      </c>
      <c r="L6" s="19"/>
      <c r="M6" s="15"/>
    </row>
    <row r="7" spans="1:13" ht="41.4" x14ac:dyDescent="0.3">
      <c r="A7" s="4">
        <v>6</v>
      </c>
      <c r="B7" s="14" t="s">
        <v>330</v>
      </c>
      <c r="C7" s="89"/>
      <c r="D7" s="16" t="s">
        <v>325</v>
      </c>
      <c r="E7" s="6" t="s">
        <v>89</v>
      </c>
      <c r="F7" s="4">
        <v>3</v>
      </c>
      <c r="G7" s="7">
        <f t="shared" si="1"/>
        <v>74250</v>
      </c>
      <c r="H7" s="8">
        <f t="shared" si="3"/>
        <v>222750</v>
      </c>
      <c r="I7" s="9">
        <f>J7</f>
        <v>625</v>
      </c>
      <c r="J7" s="10">
        <v>625</v>
      </c>
      <c r="K7" s="36">
        <v>52500</v>
      </c>
      <c r="L7" s="19"/>
      <c r="M7" s="15"/>
    </row>
    <row r="8" spans="1:13" ht="27.6" x14ac:dyDescent="0.3">
      <c r="A8" s="4">
        <v>7</v>
      </c>
      <c r="B8" s="14" t="s">
        <v>323</v>
      </c>
      <c r="C8" s="88" t="s">
        <v>336</v>
      </c>
      <c r="D8" s="16" t="s">
        <v>326</v>
      </c>
      <c r="E8" s="6" t="s">
        <v>89</v>
      </c>
      <c r="F8" s="4">
        <v>25</v>
      </c>
      <c r="G8" s="7">
        <f t="shared" ref="G8:G13" si="4">I8*88*1.35</f>
        <v>26789.400000000005</v>
      </c>
      <c r="H8" s="8">
        <f>G8*F8</f>
        <v>669735.00000000012</v>
      </c>
      <c r="I8" s="9">
        <f t="shared" ref="I8:I13" si="5">J8*1.1</f>
        <v>225.50000000000003</v>
      </c>
      <c r="J8" s="10">
        <v>205</v>
      </c>
      <c r="K8" s="36">
        <v>36729</v>
      </c>
      <c r="L8" s="19"/>
      <c r="M8" s="15"/>
    </row>
    <row r="9" spans="1:13" ht="27.6" x14ac:dyDescent="0.3">
      <c r="A9" s="4">
        <v>8</v>
      </c>
      <c r="B9" s="14" t="s">
        <v>324</v>
      </c>
      <c r="C9" s="88"/>
      <c r="D9" s="16" t="s">
        <v>326</v>
      </c>
      <c r="E9" s="6" t="s">
        <v>89</v>
      </c>
      <c r="F9" s="4">
        <v>50</v>
      </c>
      <c r="G9" s="7">
        <f t="shared" si="4"/>
        <v>12414.600000000004</v>
      </c>
      <c r="H9" s="8">
        <f t="shared" ref="H9:H10" si="6">G9*F9</f>
        <v>620730.00000000023</v>
      </c>
      <c r="I9" s="9">
        <f t="shared" si="5"/>
        <v>104.50000000000001</v>
      </c>
      <c r="J9" s="10">
        <v>95</v>
      </c>
      <c r="K9" s="36">
        <v>18184</v>
      </c>
      <c r="L9" s="19"/>
      <c r="M9" s="15"/>
    </row>
    <row r="10" spans="1:13" ht="27.6" x14ac:dyDescent="0.3">
      <c r="A10" s="4">
        <v>9</v>
      </c>
      <c r="B10" s="14" t="s">
        <v>329</v>
      </c>
      <c r="C10" s="89"/>
      <c r="D10" s="16" t="s">
        <v>326</v>
      </c>
      <c r="E10" s="6" t="s">
        <v>89</v>
      </c>
      <c r="F10" s="4">
        <v>0</v>
      </c>
      <c r="G10" s="7">
        <f t="shared" si="4"/>
        <v>9801</v>
      </c>
      <c r="H10" s="8">
        <f t="shared" si="6"/>
        <v>0</v>
      </c>
      <c r="I10" s="9">
        <f t="shared" si="5"/>
        <v>82.5</v>
      </c>
      <c r="J10" s="10">
        <v>75</v>
      </c>
      <c r="K10" s="36"/>
      <c r="L10" s="19"/>
      <c r="M10" s="15"/>
    </row>
    <row r="11" spans="1:13" ht="27.6" x14ac:dyDescent="0.3">
      <c r="A11" s="4">
        <v>10</v>
      </c>
      <c r="B11" s="14" t="s">
        <v>323</v>
      </c>
      <c r="C11" s="87" t="s">
        <v>337</v>
      </c>
      <c r="D11" s="16" t="s">
        <v>328</v>
      </c>
      <c r="E11" s="6" t="s">
        <v>89</v>
      </c>
      <c r="F11" s="4">
        <v>5</v>
      </c>
      <c r="G11" s="7">
        <f t="shared" si="4"/>
        <v>26789.400000000005</v>
      </c>
      <c r="H11" s="8">
        <f>G11*F11</f>
        <v>133947.00000000003</v>
      </c>
      <c r="I11" s="9">
        <f t="shared" si="5"/>
        <v>225.50000000000003</v>
      </c>
      <c r="J11" s="10">
        <v>205</v>
      </c>
      <c r="K11" s="36">
        <v>36729</v>
      </c>
      <c r="L11" s="19"/>
      <c r="M11" s="15"/>
    </row>
    <row r="12" spans="1:13" ht="27.6" x14ac:dyDescent="0.3">
      <c r="A12" s="4">
        <v>11</v>
      </c>
      <c r="B12" s="14" t="s">
        <v>324</v>
      </c>
      <c r="C12" s="88"/>
      <c r="D12" s="16" t="s">
        <v>328</v>
      </c>
      <c r="E12" s="6" t="s">
        <v>89</v>
      </c>
      <c r="F12" s="4">
        <v>5</v>
      </c>
      <c r="G12" s="7">
        <f t="shared" si="4"/>
        <v>18295.2</v>
      </c>
      <c r="H12" s="8">
        <f t="shared" ref="H12" si="7">G12*F12</f>
        <v>91476</v>
      </c>
      <c r="I12" s="9">
        <f t="shared" si="5"/>
        <v>154</v>
      </c>
      <c r="J12" s="10">
        <v>140</v>
      </c>
      <c r="K12" s="36">
        <v>24809</v>
      </c>
      <c r="L12" s="19"/>
      <c r="M12" s="15"/>
    </row>
    <row r="13" spans="1:13" ht="27.6" x14ac:dyDescent="0.3">
      <c r="A13" s="4">
        <v>12</v>
      </c>
      <c r="B13" s="14" t="s">
        <v>330</v>
      </c>
      <c r="C13" s="89"/>
      <c r="D13" s="16" t="s">
        <v>328</v>
      </c>
      <c r="E13" s="6" t="s">
        <v>89</v>
      </c>
      <c r="F13" s="4">
        <v>4</v>
      </c>
      <c r="G13" s="7">
        <f t="shared" si="4"/>
        <v>41164.200000000004</v>
      </c>
      <c r="H13" s="8">
        <f>G13*F13</f>
        <v>164656.80000000002</v>
      </c>
      <c r="I13" s="9">
        <f t="shared" si="5"/>
        <v>346.5</v>
      </c>
      <c r="J13" s="10">
        <v>315</v>
      </c>
      <c r="K13" s="36">
        <v>52500</v>
      </c>
      <c r="L13" s="19"/>
      <c r="M13" s="15"/>
    </row>
    <row r="14" spans="1:13" ht="27.6" x14ac:dyDescent="0.3">
      <c r="A14" s="4">
        <v>13</v>
      </c>
      <c r="B14" s="14" t="s">
        <v>323</v>
      </c>
      <c r="C14" s="87" t="s">
        <v>340</v>
      </c>
      <c r="D14" s="16" t="s">
        <v>341</v>
      </c>
      <c r="E14" s="6" t="s">
        <v>89</v>
      </c>
      <c r="F14" s="4">
        <v>10</v>
      </c>
      <c r="G14" s="7">
        <f t="shared" ref="G14:G16" si="8">I14*88*1.35</f>
        <v>34452</v>
      </c>
      <c r="H14" s="8">
        <f t="shared" si="3"/>
        <v>344520</v>
      </c>
      <c r="I14" s="9">
        <v>290</v>
      </c>
      <c r="J14" s="10">
        <v>205</v>
      </c>
      <c r="K14" s="36">
        <v>51836</v>
      </c>
      <c r="L14" s="19"/>
      <c r="M14" s="15"/>
    </row>
    <row r="15" spans="1:13" ht="27.6" x14ac:dyDescent="0.3">
      <c r="A15" s="4">
        <v>14</v>
      </c>
      <c r="B15" s="14" t="s">
        <v>324</v>
      </c>
      <c r="C15" s="88"/>
      <c r="D15" s="16" t="s">
        <v>341</v>
      </c>
      <c r="E15" s="6" t="s">
        <v>89</v>
      </c>
      <c r="F15" s="4">
        <v>10</v>
      </c>
      <c r="G15" s="7">
        <f t="shared" ref="G15" si="9">I15*88*1.35</f>
        <v>26136</v>
      </c>
      <c r="H15" s="8">
        <f t="shared" ref="H15" si="10">G15*F15</f>
        <v>261360</v>
      </c>
      <c r="I15" s="9">
        <v>220</v>
      </c>
      <c r="J15" s="10">
        <v>95</v>
      </c>
      <c r="K15" s="36">
        <v>34054</v>
      </c>
      <c r="L15" s="19"/>
      <c r="M15" s="15"/>
    </row>
    <row r="16" spans="1:13" ht="27.6" x14ac:dyDescent="0.3">
      <c r="A16" s="4">
        <v>15</v>
      </c>
      <c r="B16" s="14" t="s">
        <v>330</v>
      </c>
      <c r="C16" s="89"/>
      <c r="D16" s="16" t="s">
        <v>341</v>
      </c>
      <c r="E16" s="6" t="s">
        <v>89</v>
      </c>
      <c r="F16" s="4">
        <v>10</v>
      </c>
      <c r="G16" s="7">
        <f t="shared" si="8"/>
        <v>26136</v>
      </c>
      <c r="H16" s="8">
        <f t="shared" si="3"/>
        <v>261360</v>
      </c>
      <c r="I16" s="9">
        <v>220</v>
      </c>
      <c r="J16" s="10">
        <v>95</v>
      </c>
      <c r="K16" s="36">
        <v>34054</v>
      </c>
      <c r="L16" s="19"/>
      <c r="M16" s="15"/>
    </row>
    <row r="17" spans="1:13" ht="27.6" x14ac:dyDescent="0.3">
      <c r="A17" s="4">
        <v>16</v>
      </c>
      <c r="B17" s="14" t="s">
        <v>323</v>
      </c>
      <c r="C17" s="113" t="s">
        <v>338</v>
      </c>
      <c r="D17" s="16" t="s">
        <v>327</v>
      </c>
      <c r="E17" s="6" t="s">
        <v>89</v>
      </c>
      <c r="F17" s="4">
        <v>6</v>
      </c>
      <c r="G17" s="7">
        <f t="shared" si="1"/>
        <v>39204</v>
      </c>
      <c r="H17" s="8">
        <f t="shared" ref="H17:H19" si="11">G17*F17</f>
        <v>235224</v>
      </c>
      <c r="I17" s="9">
        <f t="shared" si="2"/>
        <v>330</v>
      </c>
      <c r="J17" s="10">
        <v>300</v>
      </c>
      <c r="K17" s="36">
        <v>57865</v>
      </c>
      <c r="L17" s="19"/>
      <c r="M17" s="15"/>
    </row>
    <row r="18" spans="1:13" ht="27.6" x14ac:dyDescent="0.3">
      <c r="A18" s="4">
        <v>17</v>
      </c>
      <c r="B18" s="14" t="s">
        <v>324</v>
      </c>
      <c r="C18" s="113"/>
      <c r="D18" s="16" t="s">
        <v>327</v>
      </c>
      <c r="E18" s="6" t="s">
        <v>89</v>
      </c>
      <c r="F18" s="4">
        <v>4</v>
      </c>
      <c r="G18" s="7">
        <f t="shared" ref="G18" si="12">I18*88*1.35</f>
        <v>45084.600000000013</v>
      </c>
      <c r="H18" s="8">
        <f t="shared" ref="H18" si="13">G18*F18</f>
        <v>180338.40000000005</v>
      </c>
      <c r="I18" s="9">
        <f t="shared" ref="I18" si="14">J18*1.1</f>
        <v>379.50000000000006</v>
      </c>
      <c r="J18" s="10">
        <v>345</v>
      </c>
      <c r="K18" s="36">
        <v>57519</v>
      </c>
      <c r="L18" s="19"/>
      <c r="M18" s="15"/>
    </row>
    <row r="19" spans="1:13" ht="27.6" x14ac:dyDescent="0.3">
      <c r="A19" s="4">
        <v>18</v>
      </c>
      <c r="B19" s="14" t="s">
        <v>330</v>
      </c>
      <c r="C19" s="113"/>
      <c r="D19" s="16" t="s">
        <v>327</v>
      </c>
      <c r="E19" s="6" t="s">
        <v>89</v>
      </c>
      <c r="F19" s="4">
        <v>4</v>
      </c>
      <c r="G19" s="7">
        <f t="shared" si="1"/>
        <v>45084.600000000013</v>
      </c>
      <c r="H19" s="8">
        <f t="shared" si="11"/>
        <v>180338.40000000005</v>
      </c>
      <c r="I19" s="9">
        <f t="shared" si="2"/>
        <v>379.50000000000006</v>
      </c>
      <c r="J19" s="10">
        <v>345</v>
      </c>
      <c r="K19" s="36">
        <v>57519</v>
      </c>
      <c r="L19" s="19"/>
      <c r="M19" s="15"/>
    </row>
    <row r="20" spans="1:13" ht="27.6" x14ac:dyDescent="0.3">
      <c r="A20" s="4">
        <v>19</v>
      </c>
      <c r="B20" s="14" t="s">
        <v>332</v>
      </c>
      <c r="C20" s="14" t="s">
        <v>339</v>
      </c>
      <c r="D20" s="16" t="s">
        <v>331</v>
      </c>
      <c r="E20" s="6" t="s">
        <v>89</v>
      </c>
      <c r="F20" s="4">
        <v>10</v>
      </c>
      <c r="G20" s="7">
        <f t="shared" ref="G20" si="15">I20*88*1.3</f>
        <v>30316</v>
      </c>
      <c r="H20" s="8">
        <f t="shared" ref="H20" si="16">G20*F20</f>
        <v>303160</v>
      </c>
      <c r="I20" s="9">
        <v>265</v>
      </c>
      <c r="J20" s="10"/>
      <c r="K20" s="36">
        <v>14320</v>
      </c>
      <c r="L20" s="19"/>
      <c r="M20" s="15"/>
    </row>
    <row r="21" spans="1:13" ht="88.5" customHeight="1" x14ac:dyDescent="0.3">
      <c r="A21" s="4">
        <v>20</v>
      </c>
      <c r="B21" s="14" t="s">
        <v>343</v>
      </c>
      <c r="C21" s="113" t="s">
        <v>336</v>
      </c>
      <c r="D21" s="16" t="s">
        <v>88</v>
      </c>
      <c r="E21" s="6" t="s">
        <v>89</v>
      </c>
      <c r="F21" s="4">
        <v>40</v>
      </c>
      <c r="G21" s="7">
        <f t="shared" ref="G21:G24" si="17">I21*88*1.3</f>
        <v>10067.200000000001</v>
      </c>
      <c r="H21" s="8">
        <f t="shared" ref="H21:H24" si="18">G21*F21</f>
        <v>402688</v>
      </c>
      <c r="I21" s="10">
        <v>88</v>
      </c>
      <c r="J21" s="10"/>
      <c r="K21" s="36">
        <v>2400</v>
      </c>
      <c r="L21" s="19"/>
      <c r="M21" s="15"/>
    </row>
    <row r="22" spans="1:13" ht="88.5" customHeight="1" x14ac:dyDescent="0.3">
      <c r="A22" s="4">
        <v>21</v>
      </c>
      <c r="B22" s="14" t="s">
        <v>344</v>
      </c>
      <c r="C22" s="113"/>
      <c r="D22" s="16" t="s">
        <v>91</v>
      </c>
      <c r="E22" s="6" t="s">
        <v>89</v>
      </c>
      <c r="F22" s="4">
        <v>40</v>
      </c>
      <c r="G22" s="7">
        <f t="shared" si="17"/>
        <v>20363.2</v>
      </c>
      <c r="H22" s="8">
        <f t="shared" si="18"/>
        <v>814528</v>
      </c>
      <c r="I22" s="10">
        <v>178</v>
      </c>
      <c r="J22" s="10"/>
      <c r="K22" s="36">
        <v>2400</v>
      </c>
      <c r="L22" s="19"/>
      <c r="M22" s="15"/>
    </row>
    <row r="23" spans="1:13" ht="27.6" x14ac:dyDescent="0.3">
      <c r="A23" s="4">
        <v>22</v>
      </c>
      <c r="B23" s="14" t="s">
        <v>345</v>
      </c>
      <c r="C23" s="113"/>
      <c r="D23" s="16" t="s">
        <v>347</v>
      </c>
      <c r="E23" s="6" t="s">
        <v>89</v>
      </c>
      <c r="F23" s="4">
        <v>40</v>
      </c>
      <c r="G23" s="7">
        <f t="shared" si="17"/>
        <v>9438</v>
      </c>
      <c r="H23" s="8">
        <f t="shared" si="18"/>
        <v>377520</v>
      </c>
      <c r="I23" s="9">
        <f>J23*1.1</f>
        <v>82.5</v>
      </c>
      <c r="J23" s="10">
        <v>75</v>
      </c>
      <c r="K23" s="36">
        <v>2400</v>
      </c>
      <c r="L23" s="19"/>
      <c r="M23" s="15"/>
    </row>
    <row r="24" spans="1:13" ht="27.6" x14ac:dyDescent="0.3">
      <c r="A24" s="4">
        <v>23</v>
      </c>
      <c r="B24" s="14" t="s">
        <v>346</v>
      </c>
      <c r="C24" s="113"/>
      <c r="D24" s="16" t="s">
        <v>348</v>
      </c>
      <c r="E24" s="6" t="s">
        <v>89</v>
      </c>
      <c r="F24" s="4">
        <v>20</v>
      </c>
      <c r="G24" s="7">
        <f t="shared" si="17"/>
        <v>9438</v>
      </c>
      <c r="H24" s="8">
        <f t="shared" si="18"/>
        <v>188760</v>
      </c>
      <c r="I24" s="9">
        <f>J24*1.1</f>
        <v>82.5</v>
      </c>
      <c r="J24" s="10">
        <v>75</v>
      </c>
      <c r="K24" s="36">
        <v>2400</v>
      </c>
      <c r="L24" s="19"/>
      <c r="M24" s="15"/>
    </row>
    <row r="25" spans="1:13" x14ac:dyDescent="0.3">
      <c r="A25" s="4">
        <v>24</v>
      </c>
      <c r="B25" s="92" t="s">
        <v>7</v>
      </c>
      <c r="C25" s="92"/>
      <c r="D25" s="92"/>
      <c r="E25" s="92"/>
      <c r="F25" s="92"/>
      <c r="G25" s="92"/>
      <c r="H25" s="11">
        <f>SUM(H2:H24)</f>
        <v>6380919.6000000006</v>
      </c>
      <c r="I25" s="19"/>
    </row>
    <row r="26" spans="1:13" x14ac:dyDescent="0.3">
      <c r="A26" s="4">
        <v>25</v>
      </c>
      <c r="B26" s="92" t="s">
        <v>92</v>
      </c>
      <c r="C26" s="92"/>
      <c r="D26" s="92"/>
      <c r="E26" s="92"/>
      <c r="F26" s="92"/>
      <c r="G26" s="92"/>
      <c r="H26" s="11">
        <f>H25*18%</f>
        <v>1148565.5280000002</v>
      </c>
    </row>
    <row r="27" spans="1:13" x14ac:dyDescent="0.3">
      <c r="A27" s="4">
        <v>26</v>
      </c>
      <c r="B27" s="92" t="s">
        <v>8</v>
      </c>
      <c r="C27" s="92"/>
      <c r="D27" s="92"/>
      <c r="E27" s="92"/>
      <c r="F27" s="92"/>
      <c r="G27" s="92"/>
      <c r="H27" s="11">
        <f>H26+H25</f>
        <v>7529485.1280000005</v>
      </c>
      <c r="I27" s="19"/>
    </row>
    <row r="28" spans="1:13" x14ac:dyDescent="0.3">
      <c r="A28" s="93"/>
      <c r="B28" s="94"/>
      <c r="C28" s="94"/>
      <c r="D28" s="94"/>
      <c r="E28" s="94"/>
      <c r="F28" s="94"/>
      <c r="G28" s="94"/>
      <c r="H28" s="95"/>
      <c r="J28" s="15"/>
    </row>
    <row r="29" spans="1:13" ht="151.80000000000001" x14ac:dyDescent="0.3">
      <c r="A29" s="13" t="s">
        <v>9</v>
      </c>
      <c r="B29" s="85" t="s">
        <v>342</v>
      </c>
      <c r="C29" s="85"/>
      <c r="D29" s="85"/>
      <c r="E29" s="85"/>
      <c r="F29" s="85"/>
      <c r="G29" s="85"/>
      <c r="H29" s="86"/>
    </row>
  </sheetData>
  <mergeCells count="12">
    <mergeCell ref="B25:G25"/>
    <mergeCell ref="B26:G26"/>
    <mergeCell ref="B27:G27"/>
    <mergeCell ref="A28:H28"/>
    <mergeCell ref="B29:H29"/>
    <mergeCell ref="C21:C24"/>
    <mergeCell ref="C14:C16"/>
    <mergeCell ref="C2:C4"/>
    <mergeCell ref="C5:C7"/>
    <mergeCell ref="C8:C10"/>
    <mergeCell ref="C17:C19"/>
    <mergeCell ref="C11:C13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29"/>
  <sheetViews>
    <sheetView workbookViewId="0">
      <selection activeCell="F17" sqref="F17"/>
    </sheetView>
  </sheetViews>
  <sheetFormatPr defaultColWidth="9.109375" defaultRowHeight="13.8" x14ac:dyDescent="0.3"/>
  <cols>
    <col min="1" max="1" width="5.88671875" style="3" bestFit="1" customWidth="1"/>
    <col min="2" max="2" width="15.5546875" style="3" customWidth="1"/>
    <col min="3" max="3" width="16.33203125" style="3" bestFit="1" customWidth="1"/>
    <col min="4" max="4" width="32.33203125" style="3" bestFit="1" customWidth="1"/>
    <col min="5" max="5" width="5" style="3" bestFit="1" customWidth="1"/>
    <col min="6" max="6" width="6.33203125" style="3" bestFit="1" customWidth="1"/>
    <col min="7" max="7" width="13.33203125" style="3" bestFit="1" customWidth="1"/>
    <col min="8" max="8" width="16.5546875" style="3" bestFit="1" customWidth="1"/>
    <col min="9" max="9" width="12.5546875" style="3" bestFit="1" customWidth="1"/>
    <col min="10" max="10" width="14" style="12" bestFit="1" customWidth="1"/>
    <col min="11" max="11" width="19.5546875" style="15" customWidth="1"/>
    <col min="12" max="12" width="9.109375" style="3"/>
    <col min="13" max="13" width="12.5546875" style="3" bestFit="1" customWidth="1"/>
    <col min="14" max="16384" width="9.109375" style="3"/>
  </cols>
  <sheetData>
    <row r="1" spans="1:13" ht="27.6" x14ac:dyDescent="0.3">
      <c r="A1" s="1" t="s">
        <v>0</v>
      </c>
      <c r="B1" s="1" t="s">
        <v>351</v>
      </c>
      <c r="C1" s="1" t="s">
        <v>349</v>
      </c>
      <c r="D1" s="1" t="s">
        <v>350</v>
      </c>
      <c r="E1" s="2" t="s">
        <v>2</v>
      </c>
      <c r="F1" s="2" t="s">
        <v>84</v>
      </c>
      <c r="G1" s="1" t="s">
        <v>3</v>
      </c>
      <c r="H1" s="1" t="s">
        <v>4</v>
      </c>
      <c r="J1" s="3" t="s">
        <v>86</v>
      </c>
      <c r="K1" s="37" t="s">
        <v>367</v>
      </c>
      <c r="L1" s="3" t="s">
        <v>368</v>
      </c>
    </row>
    <row r="2" spans="1:13" ht="27.6" x14ac:dyDescent="0.3">
      <c r="A2" s="4">
        <v>1</v>
      </c>
      <c r="B2" s="87" t="s">
        <v>360</v>
      </c>
      <c r="C2" s="38" t="s">
        <v>352</v>
      </c>
      <c r="D2" s="16" t="s">
        <v>353</v>
      </c>
      <c r="E2" s="6" t="s">
        <v>89</v>
      </c>
      <c r="F2" s="4">
        <v>2132</v>
      </c>
      <c r="G2" s="7">
        <f>I2*88*1.35</f>
        <v>0</v>
      </c>
      <c r="H2" s="8">
        <f t="shared" ref="H2:H24" si="0">G2*F2</f>
        <v>0</v>
      </c>
      <c r="I2" s="9"/>
      <c r="J2" s="10"/>
      <c r="K2" s="43" t="s">
        <v>87</v>
      </c>
      <c r="L2" s="19">
        <v>25</v>
      </c>
      <c r="M2" s="15">
        <f>150*L2*F2</f>
        <v>7995000</v>
      </c>
    </row>
    <row r="3" spans="1:13" ht="27.6" x14ac:dyDescent="0.3">
      <c r="A3" s="4">
        <v>2</v>
      </c>
      <c r="B3" s="89"/>
      <c r="C3" s="38" t="s">
        <v>365</v>
      </c>
      <c r="D3" s="16" t="s">
        <v>354</v>
      </c>
      <c r="E3" s="6" t="s">
        <v>89</v>
      </c>
      <c r="F3" s="4">
        <v>3160</v>
      </c>
      <c r="G3" s="7">
        <f t="shared" ref="G3:G19" si="1">I3*88*1.35</f>
        <v>0</v>
      </c>
      <c r="H3" s="8">
        <f t="shared" si="0"/>
        <v>0</v>
      </c>
      <c r="I3" s="9"/>
      <c r="J3" s="44">
        <f>K3*F3</f>
        <v>1668480</v>
      </c>
      <c r="K3" s="43">
        <v>528</v>
      </c>
      <c r="L3" s="19">
        <v>4</v>
      </c>
      <c r="M3" s="15">
        <f t="shared" ref="M3:M10" si="2">150*L3*F3</f>
        <v>1896000</v>
      </c>
    </row>
    <row r="4" spans="1:13" ht="14.4" customHeight="1" x14ac:dyDescent="0.3">
      <c r="A4" s="4">
        <v>3</v>
      </c>
      <c r="B4" s="87" t="s">
        <v>361</v>
      </c>
      <c r="C4" s="38" t="s">
        <v>352</v>
      </c>
      <c r="D4" s="16" t="s">
        <v>355</v>
      </c>
      <c r="E4" s="6" t="s">
        <v>89</v>
      </c>
      <c r="F4" s="4">
        <v>290</v>
      </c>
      <c r="G4" s="7">
        <f t="shared" si="1"/>
        <v>0</v>
      </c>
      <c r="H4" s="8">
        <f t="shared" si="0"/>
        <v>0</v>
      </c>
      <c r="I4" s="9"/>
      <c r="J4" s="44"/>
      <c r="K4" s="43" t="s">
        <v>87</v>
      </c>
      <c r="L4" s="19">
        <v>39</v>
      </c>
      <c r="M4" s="15">
        <f t="shared" si="2"/>
        <v>1696500</v>
      </c>
    </row>
    <row r="5" spans="1:13" ht="27.6" x14ac:dyDescent="0.3">
      <c r="A5" s="4">
        <v>4</v>
      </c>
      <c r="B5" s="88"/>
      <c r="C5" s="38" t="s">
        <v>365</v>
      </c>
      <c r="D5" s="16" t="s">
        <v>353</v>
      </c>
      <c r="E5" s="6" t="s">
        <v>89</v>
      </c>
      <c r="F5" s="4">
        <v>1638</v>
      </c>
      <c r="G5" s="7">
        <f t="shared" si="1"/>
        <v>0</v>
      </c>
      <c r="H5" s="8">
        <f t="shared" si="0"/>
        <v>0</v>
      </c>
      <c r="I5" s="9"/>
      <c r="J5" s="44">
        <f t="shared" ref="J5:J10" si="3">K5*F5</f>
        <v>6676488</v>
      </c>
      <c r="K5" s="43">
        <v>4076</v>
      </c>
      <c r="L5" s="19">
        <v>25</v>
      </c>
      <c r="M5" s="15">
        <f t="shared" si="2"/>
        <v>6142500</v>
      </c>
    </row>
    <row r="6" spans="1:13" x14ac:dyDescent="0.3">
      <c r="A6" s="4">
        <v>5</v>
      </c>
      <c r="B6" s="88"/>
      <c r="C6" s="38" t="s">
        <v>365</v>
      </c>
      <c r="D6" s="16" t="s">
        <v>356</v>
      </c>
      <c r="E6" s="6" t="s">
        <v>89</v>
      </c>
      <c r="F6" s="4"/>
      <c r="G6" s="7">
        <f t="shared" si="1"/>
        <v>0</v>
      </c>
      <c r="H6" s="8">
        <f t="shared" si="0"/>
        <v>0</v>
      </c>
      <c r="I6" s="9"/>
      <c r="J6" s="44"/>
      <c r="K6" s="43">
        <v>528</v>
      </c>
      <c r="L6" s="19"/>
      <c r="M6" s="15">
        <f t="shared" si="2"/>
        <v>0</v>
      </c>
    </row>
    <row r="7" spans="1:13" ht="27.6" x14ac:dyDescent="0.3">
      <c r="A7" s="4">
        <v>6</v>
      </c>
      <c r="B7" s="89"/>
      <c r="C7" s="38" t="s">
        <v>352</v>
      </c>
      <c r="D7" s="16" t="s">
        <v>353</v>
      </c>
      <c r="E7" s="6" t="s">
        <v>89</v>
      </c>
      <c r="F7" s="4"/>
      <c r="G7" s="7">
        <f t="shared" si="1"/>
        <v>0</v>
      </c>
      <c r="H7" s="8">
        <f t="shared" si="0"/>
        <v>0</v>
      </c>
      <c r="I7" s="9"/>
      <c r="J7" s="44"/>
      <c r="K7" s="43" t="s">
        <v>87</v>
      </c>
      <c r="L7" s="19"/>
      <c r="M7" s="15">
        <f t="shared" si="2"/>
        <v>0</v>
      </c>
    </row>
    <row r="8" spans="1:13" ht="27.6" x14ac:dyDescent="0.3">
      <c r="A8" s="4">
        <v>7</v>
      </c>
      <c r="B8" s="14" t="s">
        <v>357</v>
      </c>
      <c r="C8" s="38" t="s">
        <v>365</v>
      </c>
      <c r="D8" s="16" t="s">
        <v>358</v>
      </c>
      <c r="E8" s="6" t="s">
        <v>89</v>
      </c>
      <c r="F8" s="4">
        <v>12470</v>
      </c>
      <c r="G8" s="7">
        <f t="shared" si="1"/>
        <v>0</v>
      </c>
      <c r="H8" s="8">
        <f>G8*F8</f>
        <v>0</v>
      </c>
      <c r="I8" s="9"/>
      <c r="J8" s="44">
        <f t="shared" si="3"/>
        <v>53795580</v>
      </c>
      <c r="K8" s="43">
        <v>4314</v>
      </c>
      <c r="L8" s="19">
        <v>26</v>
      </c>
      <c r="M8" s="15">
        <f t="shared" si="2"/>
        <v>48633000</v>
      </c>
    </row>
    <row r="9" spans="1:13" ht="27.6" x14ac:dyDescent="0.3">
      <c r="A9" s="4">
        <v>8</v>
      </c>
      <c r="B9" s="87" t="s">
        <v>362</v>
      </c>
      <c r="C9" s="38" t="s">
        <v>365</v>
      </c>
      <c r="D9" s="16" t="s">
        <v>358</v>
      </c>
      <c r="E9" s="6" t="s">
        <v>89</v>
      </c>
      <c r="F9" s="4"/>
      <c r="G9" s="7">
        <f t="shared" si="1"/>
        <v>0</v>
      </c>
      <c r="H9" s="8">
        <f t="shared" ref="H9:H10" si="4">G9*F9</f>
        <v>0</v>
      </c>
      <c r="I9" s="9"/>
      <c r="J9" s="44">
        <f t="shared" si="3"/>
        <v>0</v>
      </c>
      <c r="K9" s="43">
        <v>4314</v>
      </c>
      <c r="L9" s="19"/>
      <c r="M9" s="15">
        <f t="shared" si="2"/>
        <v>0</v>
      </c>
    </row>
    <row r="10" spans="1:13" ht="27.6" x14ac:dyDescent="0.3">
      <c r="A10" s="4">
        <v>9</v>
      </c>
      <c r="B10" s="89"/>
      <c r="C10" s="5" t="s">
        <v>366</v>
      </c>
      <c r="D10" s="16" t="s">
        <v>359</v>
      </c>
      <c r="E10" s="6" t="s">
        <v>89</v>
      </c>
      <c r="F10" s="4">
        <v>870</v>
      </c>
      <c r="G10" s="7">
        <f t="shared" si="1"/>
        <v>0</v>
      </c>
      <c r="H10" s="8">
        <f t="shared" si="4"/>
        <v>0</v>
      </c>
      <c r="I10" s="9"/>
      <c r="J10" s="44">
        <f t="shared" si="3"/>
        <v>5670660</v>
      </c>
      <c r="K10" s="43">
        <v>6518</v>
      </c>
      <c r="L10" s="19">
        <v>41</v>
      </c>
      <c r="M10" s="15">
        <f t="shared" si="2"/>
        <v>5350500</v>
      </c>
    </row>
    <row r="11" spans="1:13" ht="27.6" x14ac:dyDescent="0.3">
      <c r="A11" s="4">
        <v>10</v>
      </c>
      <c r="B11" s="14" t="s">
        <v>362</v>
      </c>
      <c r="C11" s="38" t="s">
        <v>365</v>
      </c>
      <c r="D11" s="16" t="s">
        <v>358</v>
      </c>
      <c r="E11" s="6" t="s">
        <v>89</v>
      </c>
      <c r="F11" s="4"/>
      <c r="G11" s="7">
        <f t="shared" si="1"/>
        <v>0</v>
      </c>
      <c r="H11" s="8">
        <f>G11*F11</f>
        <v>0</v>
      </c>
      <c r="I11" s="9"/>
      <c r="J11" s="10"/>
      <c r="K11" s="43">
        <v>4314</v>
      </c>
      <c r="L11" s="19"/>
      <c r="M11" s="15"/>
    </row>
    <row r="12" spans="1:13" ht="27.6" x14ac:dyDescent="0.3">
      <c r="A12" s="4">
        <v>11</v>
      </c>
      <c r="B12" s="87" t="s">
        <v>357</v>
      </c>
      <c r="C12" s="38" t="s">
        <v>365</v>
      </c>
      <c r="D12" s="16" t="s">
        <v>358</v>
      </c>
      <c r="E12" s="6" t="s">
        <v>89</v>
      </c>
      <c r="F12" s="4"/>
      <c r="G12" s="7">
        <f t="shared" si="1"/>
        <v>0</v>
      </c>
      <c r="H12" s="8">
        <f t="shared" ref="H12" si="5">G12*F12</f>
        <v>0</v>
      </c>
      <c r="I12" s="9"/>
      <c r="J12" s="10"/>
      <c r="K12" s="43">
        <v>4314</v>
      </c>
      <c r="L12" s="19"/>
      <c r="M12" s="15"/>
    </row>
    <row r="13" spans="1:13" ht="27.6" x14ac:dyDescent="0.3">
      <c r="A13" s="4">
        <v>12</v>
      </c>
      <c r="B13" s="89"/>
      <c r="C13" s="5" t="s">
        <v>366</v>
      </c>
      <c r="D13" s="16" t="s">
        <v>359</v>
      </c>
      <c r="E13" s="6" t="s">
        <v>89</v>
      </c>
      <c r="F13" s="4"/>
      <c r="G13" s="7">
        <f t="shared" si="1"/>
        <v>0</v>
      </c>
      <c r="H13" s="8">
        <f>G13*F13</f>
        <v>0</v>
      </c>
      <c r="I13" s="9"/>
      <c r="J13" s="10"/>
      <c r="K13" s="43">
        <v>6518</v>
      </c>
      <c r="L13" s="19"/>
      <c r="M13" s="15"/>
    </row>
    <row r="14" spans="1:13" ht="27.6" x14ac:dyDescent="0.3">
      <c r="A14" s="4">
        <v>13</v>
      </c>
      <c r="B14" s="14" t="s">
        <v>363</v>
      </c>
      <c r="C14" s="5" t="s">
        <v>365</v>
      </c>
      <c r="D14" s="16" t="s">
        <v>358</v>
      </c>
      <c r="E14" s="6" t="s">
        <v>89</v>
      </c>
      <c r="F14" s="4"/>
      <c r="G14" s="7">
        <f t="shared" si="1"/>
        <v>0</v>
      </c>
      <c r="H14" s="8">
        <f t="shared" si="0"/>
        <v>0</v>
      </c>
      <c r="I14" s="9"/>
      <c r="J14" s="10"/>
      <c r="K14" s="43">
        <v>4314</v>
      </c>
      <c r="L14" s="19"/>
      <c r="M14" s="15"/>
    </row>
    <row r="15" spans="1:13" ht="27.6" x14ac:dyDescent="0.3">
      <c r="A15" s="4">
        <v>14</v>
      </c>
      <c r="B15" s="87" t="s">
        <v>364</v>
      </c>
      <c r="C15" s="5" t="s">
        <v>365</v>
      </c>
      <c r="D15" s="16" t="s">
        <v>358</v>
      </c>
      <c r="E15" s="6" t="s">
        <v>89</v>
      </c>
      <c r="F15" s="4"/>
      <c r="G15" s="7">
        <f t="shared" si="1"/>
        <v>0</v>
      </c>
      <c r="H15" s="8">
        <f t="shared" si="0"/>
        <v>0</v>
      </c>
      <c r="I15" s="9"/>
      <c r="J15" s="10"/>
      <c r="K15" s="43">
        <v>4314</v>
      </c>
      <c r="L15" s="19"/>
      <c r="M15" s="15"/>
    </row>
    <row r="16" spans="1:13" ht="27.6" x14ac:dyDescent="0.3">
      <c r="A16" s="4">
        <v>15</v>
      </c>
      <c r="B16" s="89"/>
      <c r="C16" s="5" t="s">
        <v>366</v>
      </c>
      <c r="D16" s="16" t="s">
        <v>359</v>
      </c>
      <c r="E16" s="6" t="s">
        <v>89</v>
      </c>
      <c r="F16" s="4"/>
      <c r="G16" s="7">
        <f t="shared" si="1"/>
        <v>0</v>
      </c>
      <c r="H16" s="8">
        <f t="shared" si="0"/>
        <v>0</v>
      </c>
      <c r="I16" s="9"/>
      <c r="J16" s="10"/>
      <c r="K16" s="36"/>
      <c r="L16" s="19"/>
      <c r="M16" s="15"/>
    </row>
    <row r="17" spans="1:13" x14ac:dyDescent="0.3">
      <c r="A17" s="4">
        <v>16</v>
      </c>
      <c r="B17" s="14"/>
      <c r="C17" s="38"/>
      <c r="D17" s="16"/>
      <c r="E17" s="6" t="s">
        <v>89</v>
      </c>
      <c r="F17" s="4"/>
      <c r="G17" s="7">
        <f t="shared" si="1"/>
        <v>0</v>
      </c>
      <c r="H17" s="8">
        <f t="shared" si="0"/>
        <v>0</v>
      </c>
      <c r="I17" s="9"/>
      <c r="J17" s="10"/>
      <c r="K17" s="36"/>
      <c r="L17" s="19"/>
      <c r="M17" s="15"/>
    </row>
    <row r="18" spans="1:13" x14ac:dyDescent="0.3">
      <c r="A18" s="4">
        <v>17</v>
      </c>
      <c r="B18" s="14"/>
      <c r="C18" s="38"/>
      <c r="D18" s="16"/>
      <c r="E18" s="6" t="s">
        <v>89</v>
      </c>
      <c r="F18" s="4"/>
      <c r="G18" s="7">
        <f t="shared" si="1"/>
        <v>0</v>
      </c>
      <c r="H18" s="8">
        <f t="shared" si="0"/>
        <v>0</v>
      </c>
      <c r="I18" s="9"/>
      <c r="J18" s="10"/>
      <c r="K18" s="36"/>
      <c r="L18" s="19"/>
      <c r="M18" s="15"/>
    </row>
    <row r="19" spans="1:13" x14ac:dyDescent="0.3">
      <c r="A19" s="4">
        <v>18</v>
      </c>
      <c r="B19" s="14"/>
      <c r="C19" s="38"/>
      <c r="D19" s="16"/>
      <c r="E19" s="6" t="s">
        <v>89</v>
      </c>
      <c r="F19" s="4"/>
      <c r="G19" s="7">
        <f t="shared" si="1"/>
        <v>0</v>
      </c>
      <c r="H19" s="8">
        <f t="shared" si="0"/>
        <v>0</v>
      </c>
      <c r="I19" s="9"/>
      <c r="J19" s="10"/>
      <c r="K19" s="36"/>
      <c r="L19" s="19"/>
      <c r="M19" s="15"/>
    </row>
    <row r="20" spans="1:13" x14ac:dyDescent="0.3">
      <c r="A20" s="4">
        <v>19</v>
      </c>
      <c r="B20" s="14"/>
      <c r="C20" s="14"/>
      <c r="D20" s="16"/>
      <c r="E20" s="6" t="s">
        <v>89</v>
      </c>
      <c r="F20" s="4"/>
      <c r="G20" s="7">
        <f t="shared" ref="G20:G24" si="6">I20*88*1.3</f>
        <v>0</v>
      </c>
      <c r="H20" s="8">
        <f t="shared" si="0"/>
        <v>0</v>
      </c>
      <c r="I20" s="9"/>
      <c r="J20" s="10"/>
      <c r="K20" s="36"/>
      <c r="L20" s="19"/>
      <c r="M20" s="15"/>
    </row>
    <row r="21" spans="1:13" x14ac:dyDescent="0.3">
      <c r="A21" s="4">
        <v>20</v>
      </c>
      <c r="B21" s="14"/>
      <c r="C21" s="38"/>
      <c r="D21" s="16"/>
      <c r="E21" s="6" t="s">
        <v>89</v>
      </c>
      <c r="F21" s="4"/>
      <c r="G21" s="7">
        <f t="shared" si="6"/>
        <v>0</v>
      </c>
      <c r="H21" s="8">
        <f t="shared" si="0"/>
        <v>0</v>
      </c>
      <c r="I21" s="10"/>
      <c r="J21" s="10"/>
      <c r="K21" s="36"/>
      <c r="L21" s="19"/>
      <c r="M21" s="15"/>
    </row>
    <row r="22" spans="1:13" x14ac:dyDescent="0.3">
      <c r="A22" s="4">
        <v>21</v>
      </c>
      <c r="B22" s="14"/>
      <c r="C22" s="38"/>
      <c r="D22" s="16"/>
      <c r="E22" s="6" t="s">
        <v>89</v>
      </c>
      <c r="F22" s="4"/>
      <c r="G22" s="7">
        <f t="shared" si="6"/>
        <v>0</v>
      </c>
      <c r="H22" s="8">
        <f t="shared" si="0"/>
        <v>0</v>
      </c>
      <c r="I22" s="10"/>
      <c r="J22" s="10"/>
      <c r="K22" s="36"/>
      <c r="L22" s="19"/>
      <c r="M22" s="15"/>
    </row>
    <row r="23" spans="1:13" x14ac:dyDescent="0.3">
      <c r="A23" s="4">
        <v>22</v>
      </c>
      <c r="B23" s="14"/>
      <c r="C23" s="38"/>
      <c r="D23" s="16"/>
      <c r="E23" s="6" t="s">
        <v>89</v>
      </c>
      <c r="F23" s="4"/>
      <c r="G23" s="7">
        <f t="shared" si="6"/>
        <v>0</v>
      </c>
      <c r="H23" s="8">
        <f t="shared" si="0"/>
        <v>0</v>
      </c>
      <c r="I23" s="9"/>
      <c r="J23" s="10"/>
      <c r="K23" s="36"/>
      <c r="L23" s="19"/>
      <c r="M23" s="15"/>
    </row>
    <row r="24" spans="1:13" x14ac:dyDescent="0.3">
      <c r="A24" s="4">
        <v>23</v>
      </c>
      <c r="B24" s="14"/>
      <c r="C24" s="38"/>
      <c r="D24" s="16"/>
      <c r="E24" s="6" t="s">
        <v>89</v>
      </c>
      <c r="F24" s="4"/>
      <c r="G24" s="7">
        <f t="shared" si="6"/>
        <v>0</v>
      </c>
      <c r="H24" s="8">
        <f t="shared" si="0"/>
        <v>0</v>
      </c>
      <c r="I24" s="9"/>
      <c r="J24" s="10"/>
      <c r="K24" s="36"/>
      <c r="L24" s="19"/>
      <c r="M24" s="15"/>
    </row>
    <row r="25" spans="1:13" x14ac:dyDescent="0.3">
      <c r="A25" s="4">
        <v>24</v>
      </c>
      <c r="B25" s="39" t="s">
        <v>7</v>
      </c>
      <c r="C25" s="39"/>
      <c r="D25" s="39"/>
      <c r="E25" s="39"/>
      <c r="F25" s="39"/>
      <c r="G25" s="39"/>
      <c r="H25" s="11">
        <f>SUM(H2:H24)</f>
        <v>0</v>
      </c>
      <c r="I25" s="19"/>
    </row>
    <row r="26" spans="1:13" x14ac:dyDescent="0.3">
      <c r="A26" s="4">
        <v>25</v>
      </c>
      <c r="B26" s="39" t="s">
        <v>92</v>
      </c>
      <c r="C26" s="39"/>
      <c r="D26" s="39"/>
      <c r="E26" s="39"/>
      <c r="F26" s="39"/>
      <c r="G26" s="39"/>
      <c r="H26" s="11">
        <f>H25*18%</f>
        <v>0</v>
      </c>
    </row>
    <row r="27" spans="1:13" x14ac:dyDescent="0.3">
      <c r="A27" s="4">
        <v>26</v>
      </c>
      <c r="B27" s="39" t="s">
        <v>8</v>
      </c>
      <c r="C27" s="39"/>
      <c r="D27" s="39"/>
      <c r="E27" s="39"/>
      <c r="F27" s="39"/>
      <c r="G27" s="39"/>
      <c r="H27" s="11">
        <f>H26+H25</f>
        <v>0</v>
      </c>
      <c r="I27" s="19"/>
    </row>
    <row r="28" spans="1:13" x14ac:dyDescent="0.3">
      <c r="A28" s="40"/>
      <c r="B28" s="41"/>
      <c r="C28" s="41"/>
      <c r="D28" s="41"/>
      <c r="E28" s="41"/>
      <c r="F28" s="41"/>
      <c r="G28" s="41"/>
      <c r="H28" s="42"/>
      <c r="J28" s="15"/>
    </row>
    <row r="29" spans="1:13" ht="409.5" customHeight="1" x14ac:dyDescent="0.3">
      <c r="A29" s="13" t="s">
        <v>9</v>
      </c>
      <c r="B29" s="85" t="s">
        <v>342</v>
      </c>
      <c r="C29" s="85"/>
      <c r="D29" s="85"/>
      <c r="E29" s="85"/>
      <c r="F29" s="85"/>
      <c r="G29" s="85"/>
      <c r="H29" s="86"/>
      <c r="K29" s="45" t="s">
        <v>369</v>
      </c>
    </row>
  </sheetData>
  <autoFilter ref="A1:M27" xr:uid="{00000000-0009-0000-0000-00001A000000}"/>
  <mergeCells count="6">
    <mergeCell ref="B29:H29"/>
    <mergeCell ref="B2:B3"/>
    <mergeCell ref="B4:B7"/>
    <mergeCell ref="B9:B10"/>
    <mergeCell ref="B12:B13"/>
    <mergeCell ref="B15:B16"/>
  </mergeCells>
  <hyperlinks>
    <hyperlink ref="K29" r:id="rId1" xr:uid="{00000000-0004-0000-1A00-000000000000}"/>
  </hyperlinks>
  <pageMargins left="0.7" right="0.7" top="0.75" bottom="0.75" header="0.3" footer="0.3"/>
  <pageSetup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10"/>
  <sheetViews>
    <sheetView workbookViewId="0">
      <selection activeCell="D1" sqref="D1"/>
    </sheetView>
  </sheetViews>
  <sheetFormatPr defaultColWidth="9.109375" defaultRowHeight="13.8" x14ac:dyDescent="0.3"/>
  <cols>
    <col min="1" max="1" width="5.88671875" style="3" bestFit="1" customWidth="1"/>
    <col min="2" max="2" width="5.6640625" style="3" bestFit="1" customWidth="1"/>
    <col min="3" max="3" width="8.5546875" style="3" bestFit="1" customWidth="1"/>
    <col min="4" max="4" width="28.88671875" style="3" bestFit="1" customWidth="1"/>
    <col min="5" max="5" width="5" style="3" bestFit="1" customWidth="1"/>
    <col min="6" max="6" width="4" style="3" bestFit="1" customWidth="1"/>
    <col min="7" max="8" width="13.33203125" style="3" bestFit="1" customWidth="1"/>
    <col min="9" max="9" width="16.5546875" style="3" bestFit="1" customWidth="1"/>
    <col min="10" max="10" width="9.109375" style="3"/>
    <col min="11" max="11" width="14" style="12" bestFit="1" customWidth="1"/>
    <col min="12" max="12" width="19.5546875" style="3" customWidth="1"/>
    <col min="13" max="13" width="11.33203125" style="22" bestFit="1" customWidth="1"/>
    <col min="14" max="14" width="10.44140625" style="22" bestFit="1" customWidth="1"/>
    <col min="15" max="16384" width="9.109375" style="3"/>
  </cols>
  <sheetData>
    <row r="1" spans="1:14" ht="27.6" x14ac:dyDescent="0.3">
      <c r="A1" s="1" t="s">
        <v>0</v>
      </c>
      <c r="B1" s="2" t="s">
        <v>48</v>
      </c>
      <c r="C1" s="2" t="s">
        <v>49</v>
      </c>
      <c r="D1" s="2" t="s">
        <v>1</v>
      </c>
      <c r="E1" s="2" t="s">
        <v>2</v>
      </c>
      <c r="F1" s="2" t="s">
        <v>55</v>
      </c>
      <c r="G1" s="1" t="s">
        <v>3</v>
      </c>
      <c r="H1" s="1" t="s">
        <v>56</v>
      </c>
      <c r="I1" s="1" t="s">
        <v>4</v>
      </c>
      <c r="J1" s="3" t="s">
        <v>5</v>
      </c>
      <c r="K1" s="3" t="s">
        <v>47</v>
      </c>
      <c r="L1" s="3" t="s">
        <v>83</v>
      </c>
      <c r="M1" s="22" t="s">
        <v>112</v>
      </c>
      <c r="N1" s="22" t="s">
        <v>113</v>
      </c>
    </row>
    <row r="2" spans="1:14" ht="69" x14ac:dyDescent="0.3">
      <c r="A2" s="4">
        <v>1</v>
      </c>
      <c r="B2" s="4" t="s">
        <v>50</v>
      </c>
      <c r="C2" s="4" t="s">
        <v>50</v>
      </c>
      <c r="D2" s="5" t="s">
        <v>74</v>
      </c>
      <c r="E2" s="6" t="s">
        <v>6</v>
      </c>
      <c r="F2" s="4">
        <v>50</v>
      </c>
      <c r="G2" s="7">
        <v>3164</v>
      </c>
      <c r="H2" s="7">
        <f>G2*18%</f>
        <v>569.52</v>
      </c>
      <c r="I2" s="8">
        <f>F2*(G2+H2)</f>
        <v>186676</v>
      </c>
      <c r="J2" s="9"/>
      <c r="K2" s="10"/>
      <c r="L2" s="10">
        <v>3500</v>
      </c>
      <c r="M2" s="22">
        <f>120/6.5</f>
        <v>18.46153846153846</v>
      </c>
      <c r="N2" s="22">
        <f>120/6.5</f>
        <v>18.46153846153846</v>
      </c>
    </row>
    <row r="3" spans="1:14" ht="55.2" x14ac:dyDescent="0.3">
      <c r="A3" s="4">
        <v>2</v>
      </c>
      <c r="B3" s="4" t="s">
        <v>50</v>
      </c>
      <c r="C3" s="4" t="s">
        <v>50</v>
      </c>
      <c r="D3" s="5" t="s">
        <v>77</v>
      </c>
      <c r="E3" s="6" t="s">
        <v>6</v>
      </c>
      <c r="F3" s="4">
        <v>4</v>
      </c>
      <c r="G3" s="7">
        <v>17346</v>
      </c>
      <c r="H3" s="7">
        <f t="shared" ref="H3:H8" si="0">G3*18%</f>
        <v>3122.2799999999997</v>
      </c>
      <c r="I3" s="8">
        <f t="shared" ref="I3:I8" si="1">F3*(G3+H3)</f>
        <v>81873.119999999995</v>
      </c>
      <c r="J3" s="9"/>
      <c r="K3" s="10"/>
      <c r="L3" s="10">
        <v>20000</v>
      </c>
      <c r="M3" s="22">
        <f>11040/6.5</f>
        <v>1698.4615384615386</v>
      </c>
      <c r="N3" s="22">
        <f>3640/6.5</f>
        <v>560</v>
      </c>
    </row>
    <row r="4" spans="1:14" ht="55.2" x14ac:dyDescent="0.3">
      <c r="A4" s="4">
        <v>3</v>
      </c>
      <c r="B4" s="4" t="s">
        <v>50</v>
      </c>
      <c r="C4" s="4" t="s">
        <v>50</v>
      </c>
      <c r="D4" s="5" t="s">
        <v>78</v>
      </c>
      <c r="E4" s="6" t="s">
        <v>6</v>
      </c>
      <c r="F4" s="4">
        <v>4</v>
      </c>
      <c r="G4" s="7">
        <v>17346</v>
      </c>
      <c r="H4" s="7">
        <f t="shared" si="0"/>
        <v>3122.2799999999997</v>
      </c>
      <c r="I4" s="8">
        <f t="shared" si="1"/>
        <v>81873.119999999995</v>
      </c>
      <c r="J4" s="9"/>
      <c r="K4" s="10"/>
      <c r="L4" s="10">
        <v>20000</v>
      </c>
      <c r="M4" s="22">
        <f>11040/6.5</f>
        <v>1698.4615384615386</v>
      </c>
      <c r="N4" s="22">
        <f>3640/6.5</f>
        <v>560</v>
      </c>
    </row>
    <row r="5" spans="1:14" ht="41.4" x14ac:dyDescent="0.3">
      <c r="A5" s="4">
        <v>4</v>
      </c>
      <c r="B5" s="4" t="s">
        <v>50</v>
      </c>
      <c r="C5" s="4" t="s">
        <v>50</v>
      </c>
      <c r="D5" s="5" t="s">
        <v>80</v>
      </c>
      <c r="E5" s="6" t="s">
        <v>6</v>
      </c>
      <c r="F5" s="4">
        <v>4</v>
      </c>
      <c r="G5" s="7">
        <v>28500</v>
      </c>
      <c r="H5" s="7">
        <f t="shared" si="0"/>
        <v>5130</v>
      </c>
      <c r="I5" s="8">
        <f t="shared" si="1"/>
        <v>134520</v>
      </c>
      <c r="J5" s="9"/>
      <c r="K5" s="10"/>
      <c r="L5" s="10">
        <v>20000</v>
      </c>
      <c r="M5" s="22">
        <f>3500/6.5</f>
        <v>538.46153846153845</v>
      </c>
      <c r="N5" s="22">
        <f>2340/6.5</f>
        <v>360</v>
      </c>
    </row>
    <row r="6" spans="1:14" ht="41.4" x14ac:dyDescent="0.3">
      <c r="A6" s="4">
        <v>5</v>
      </c>
      <c r="B6" s="4" t="s">
        <v>50</v>
      </c>
      <c r="C6" s="4" t="s">
        <v>50</v>
      </c>
      <c r="D6" s="5" t="s">
        <v>81</v>
      </c>
      <c r="E6" s="6" t="s">
        <v>6</v>
      </c>
      <c r="F6" s="4">
        <v>4</v>
      </c>
      <c r="G6" s="7">
        <v>28500</v>
      </c>
      <c r="H6" s="7">
        <f t="shared" si="0"/>
        <v>5130</v>
      </c>
      <c r="I6" s="8">
        <f t="shared" si="1"/>
        <v>134520</v>
      </c>
      <c r="J6" s="9"/>
      <c r="K6" s="10"/>
      <c r="L6" s="10">
        <v>20000</v>
      </c>
      <c r="M6" s="22">
        <f>3500/6.5</f>
        <v>538.46153846153845</v>
      </c>
      <c r="N6" s="22">
        <f>2470/6.5</f>
        <v>380</v>
      </c>
    </row>
    <row r="7" spans="1:14" ht="55.2" x14ac:dyDescent="0.3">
      <c r="A7" s="4">
        <v>6</v>
      </c>
      <c r="B7" s="4" t="s">
        <v>50</v>
      </c>
      <c r="C7" s="4" t="s">
        <v>50</v>
      </c>
      <c r="D7" s="5" t="s">
        <v>82</v>
      </c>
      <c r="E7" s="6" t="s">
        <v>6</v>
      </c>
      <c r="F7" s="4">
        <v>6</v>
      </c>
      <c r="G7" s="7">
        <v>16454.2</v>
      </c>
      <c r="H7" s="7">
        <f t="shared" si="0"/>
        <v>2961.7559999999999</v>
      </c>
      <c r="I7" s="8">
        <f t="shared" si="1"/>
        <v>116495.736</v>
      </c>
      <c r="J7" s="9"/>
      <c r="K7" s="10"/>
      <c r="L7" s="10">
        <v>20000</v>
      </c>
      <c r="M7" s="22">
        <f>3000/6.5</f>
        <v>461.53846153846155</v>
      </c>
      <c r="N7" s="22">
        <f>1000/6.5</f>
        <v>153.84615384615384</v>
      </c>
    </row>
    <row r="8" spans="1:14" ht="82.8" x14ac:dyDescent="0.3">
      <c r="A8" s="4">
        <v>7</v>
      </c>
      <c r="B8" s="4" t="s">
        <v>50</v>
      </c>
      <c r="C8" s="4" t="s">
        <v>50</v>
      </c>
      <c r="D8" s="5" t="s">
        <v>114</v>
      </c>
      <c r="E8" s="6" t="s">
        <v>6</v>
      </c>
      <c r="F8" s="4">
        <v>4</v>
      </c>
      <c r="G8" s="7">
        <v>174440</v>
      </c>
      <c r="H8" s="7">
        <f t="shared" si="0"/>
        <v>31399.199999999997</v>
      </c>
      <c r="I8" s="8">
        <f t="shared" si="1"/>
        <v>823356.8</v>
      </c>
      <c r="J8" s="9"/>
      <c r="K8" s="10"/>
      <c r="L8" s="10">
        <v>200000</v>
      </c>
      <c r="M8" s="22">
        <f>4000/6.5</f>
        <v>615.38461538461536</v>
      </c>
      <c r="N8" s="22">
        <f>3800/6.5</f>
        <v>584.61538461538464</v>
      </c>
    </row>
    <row r="9" spans="1:14" x14ac:dyDescent="0.3">
      <c r="A9" s="93"/>
      <c r="B9" s="94"/>
      <c r="C9" s="94"/>
      <c r="D9" s="94"/>
      <c r="E9" s="94"/>
      <c r="F9" s="94"/>
      <c r="G9" s="94"/>
      <c r="H9" s="94"/>
      <c r="I9" s="95"/>
    </row>
    <row r="10" spans="1:14" ht="157.5" customHeight="1" x14ac:dyDescent="0.3">
      <c r="A10" s="13" t="s">
        <v>9</v>
      </c>
      <c r="B10" s="85" t="s">
        <v>100</v>
      </c>
      <c r="C10" s="85"/>
      <c r="D10" s="85"/>
      <c r="E10" s="85"/>
      <c r="F10" s="85"/>
      <c r="G10" s="85"/>
      <c r="H10" s="85"/>
      <c r="I10" s="86"/>
    </row>
  </sheetData>
  <mergeCells count="2">
    <mergeCell ref="A9:I9"/>
    <mergeCell ref="B10:I10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I11"/>
  <sheetViews>
    <sheetView topLeftCell="A3" workbookViewId="0">
      <selection activeCell="F15" sqref="F15"/>
    </sheetView>
  </sheetViews>
  <sheetFormatPr defaultRowHeight="14.4" x14ac:dyDescent="0.3"/>
  <cols>
    <col min="2" max="2" width="4.33203125" bestFit="1" customWidth="1"/>
    <col min="3" max="3" width="40.88671875" bestFit="1" customWidth="1"/>
    <col min="4" max="4" width="3.5546875" bestFit="1" customWidth="1"/>
    <col min="5" max="5" width="4.88671875" bestFit="1" customWidth="1"/>
    <col min="6" max="6" width="12.109375" bestFit="1" customWidth="1"/>
    <col min="7" max="7" width="11.33203125" bestFit="1" customWidth="1"/>
    <col min="8" max="8" width="9.6640625" bestFit="1" customWidth="1"/>
  </cols>
  <sheetData>
    <row r="2" spans="2:9" x14ac:dyDescent="0.3">
      <c r="B2" s="46"/>
    </row>
    <row r="3" spans="2:9" ht="27.6" x14ac:dyDescent="0.3">
      <c r="B3" s="47" t="s">
        <v>382</v>
      </c>
      <c r="C3" s="47" t="s">
        <v>383</v>
      </c>
      <c r="D3" s="47" t="s">
        <v>384</v>
      </c>
      <c r="E3" s="47" t="s">
        <v>2</v>
      </c>
      <c r="F3" s="47" t="s">
        <v>385</v>
      </c>
      <c r="G3" s="47" t="s">
        <v>386</v>
      </c>
    </row>
    <row r="4" spans="2:9" x14ac:dyDescent="0.3">
      <c r="B4" s="14">
        <v>1</v>
      </c>
      <c r="C4" s="53" t="s">
        <v>387</v>
      </c>
      <c r="D4" s="14">
        <v>5</v>
      </c>
      <c r="E4" s="14" t="s">
        <v>388</v>
      </c>
      <c r="F4" s="48">
        <v>10300</v>
      </c>
      <c r="G4" s="49">
        <f>F4*D4</f>
        <v>51500</v>
      </c>
      <c r="H4" s="54"/>
      <c r="I4">
        <v>68</v>
      </c>
    </row>
    <row r="5" spans="2:9" x14ac:dyDescent="0.3">
      <c r="B5" s="14">
        <v>3</v>
      </c>
      <c r="C5" s="53" t="s">
        <v>389</v>
      </c>
      <c r="D5" s="14">
        <v>10</v>
      </c>
      <c r="E5" s="14" t="s">
        <v>388</v>
      </c>
      <c r="F5" s="48">
        <v>4120</v>
      </c>
      <c r="G5" s="49">
        <f t="shared" ref="G5:G10" si="0">F5*D5</f>
        <v>41200</v>
      </c>
      <c r="H5" s="54"/>
    </row>
    <row r="6" spans="2:9" ht="55.2" x14ac:dyDescent="0.3">
      <c r="B6" s="14">
        <v>4</v>
      </c>
      <c r="C6" s="38" t="s">
        <v>394</v>
      </c>
      <c r="D6" s="14">
        <v>60</v>
      </c>
      <c r="E6" s="14" t="s">
        <v>388</v>
      </c>
      <c r="F6" s="48">
        <v>2060</v>
      </c>
      <c r="G6" s="49">
        <f t="shared" si="0"/>
        <v>123600</v>
      </c>
      <c r="H6" s="54"/>
      <c r="I6">
        <v>7.5</v>
      </c>
    </row>
    <row r="7" spans="2:9" x14ac:dyDescent="0.3">
      <c r="B7" s="14">
        <v>5</v>
      </c>
      <c r="C7" s="38" t="s">
        <v>390</v>
      </c>
      <c r="D7" s="14">
        <v>2</v>
      </c>
      <c r="E7" s="14" t="s">
        <v>388</v>
      </c>
      <c r="F7" s="48">
        <v>41200</v>
      </c>
      <c r="G7" s="49">
        <f t="shared" si="0"/>
        <v>82400</v>
      </c>
      <c r="H7" s="54"/>
      <c r="I7">
        <v>206</v>
      </c>
    </row>
    <row r="8" spans="2:9" ht="41.4" x14ac:dyDescent="0.3">
      <c r="B8" s="14">
        <v>6</v>
      </c>
      <c r="C8" s="53" t="s">
        <v>401</v>
      </c>
      <c r="D8" s="14">
        <v>12</v>
      </c>
      <c r="E8" s="14" t="s">
        <v>388</v>
      </c>
      <c r="F8" s="48">
        <v>9733.5</v>
      </c>
      <c r="G8" s="49">
        <f t="shared" si="0"/>
        <v>116802</v>
      </c>
      <c r="H8" s="54"/>
      <c r="I8">
        <v>60</v>
      </c>
    </row>
    <row r="9" spans="2:9" x14ac:dyDescent="0.3">
      <c r="B9" s="14">
        <v>7</v>
      </c>
      <c r="C9" s="38" t="s">
        <v>391</v>
      </c>
      <c r="D9" s="14">
        <v>8</v>
      </c>
      <c r="E9" s="14" t="s">
        <v>388</v>
      </c>
      <c r="F9" s="48">
        <v>30900</v>
      </c>
      <c r="G9" s="49">
        <f t="shared" si="0"/>
        <v>247200</v>
      </c>
      <c r="H9" s="54"/>
    </row>
    <row r="10" spans="2:9" x14ac:dyDescent="0.3">
      <c r="B10" s="14">
        <v>8</v>
      </c>
      <c r="C10" s="38" t="s">
        <v>392</v>
      </c>
      <c r="D10" s="14">
        <v>8</v>
      </c>
      <c r="E10" s="14" t="s">
        <v>388</v>
      </c>
      <c r="F10" s="48">
        <v>30900</v>
      </c>
      <c r="G10" s="49">
        <f t="shared" si="0"/>
        <v>247200</v>
      </c>
      <c r="H10" s="54"/>
    </row>
    <row r="11" spans="2:9" x14ac:dyDescent="0.3">
      <c r="B11" s="47"/>
      <c r="C11" s="50" t="s">
        <v>393</v>
      </c>
      <c r="D11" s="47"/>
      <c r="E11" s="47"/>
      <c r="F11" s="51"/>
      <c r="G11" s="52">
        <f>SUM(G4:G10)</f>
        <v>909902</v>
      </c>
    </row>
  </sheetData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6"/>
  <sheetViews>
    <sheetView workbookViewId="0">
      <selection activeCell="B2" sqref="B2"/>
    </sheetView>
  </sheetViews>
  <sheetFormatPr defaultColWidth="9.109375" defaultRowHeight="13.8" x14ac:dyDescent="0.3"/>
  <cols>
    <col min="1" max="1" width="5.5546875" style="3" bestFit="1" customWidth="1"/>
    <col min="2" max="2" width="26.88671875" style="3" bestFit="1" customWidth="1"/>
    <col min="3" max="3" width="44.44140625" style="3" customWidth="1"/>
    <col min="4" max="4" width="4.88671875" style="3" bestFit="1" customWidth="1"/>
    <col min="5" max="5" width="4" style="3" bestFit="1" customWidth="1"/>
    <col min="6" max="6" width="11.109375" style="3" bestFit="1" customWidth="1"/>
    <col min="7" max="7" width="9.44140625" style="3" bestFit="1" customWidth="1"/>
    <col min="8" max="8" width="10.44140625" style="3" bestFit="1" customWidth="1"/>
    <col min="9" max="9" width="4.44140625" style="3" bestFit="1" customWidth="1"/>
    <col min="10" max="10" width="5.5546875" style="12" bestFit="1" customWidth="1"/>
    <col min="11" max="11" width="19.5546875" style="3" customWidth="1"/>
    <col min="12" max="12" width="11.33203125" style="22" bestFit="1" customWidth="1"/>
    <col min="13" max="13" width="10.44140625" style="22" bestFit="1" customWidth="1"/>
    <col min="14" max="16384" width="9.109375" style="3"/>
  </cols>
  <sheetData>
    <row r="1" spans="1:12" s="22" customFormat="1" ht="27.6" x14ac:dyDescent="0.3">
      <c r="A1" s="27" t="s">
        <v>0</v>
      </c>
      <c r="B1" s="2" t="s">
        <v>372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60</v>
      </c>
      <c r="K1" s="34"/>
    </row>
    <row r="2" spans="1:12" s="22" customFormat="1" ht="69" x14ac:dyDescent="0.3">
      <c r="A2" s="6">
        <v>1</v>
      </c>
      <c r="B2" s="35" t="s">
        <v>373</v>
      </c>
      <c r="C2" s="5" t="s">
        <v>371</v>
      </c>
      <c r="D2" s="6" t="s">
        <v>89</v>
      </c>
      <c r="E2" s="6">
        <v>20</v>
      </c>
      <c r="F2" s="28">
        <f>I2*88*1.35</f>
        <v>4752</v>
      </c>
      <c r="G2" s="28">
        <f>F2*18%</f>
        <v>855.36</v>
      </c>
      <c r="H2" s="29">
        <f>E2*(F2+G2)</f>
        <v>112147.2</v>
      </c>
      <c r="I2" s="9">
        <v>40</v>
      </c>
      <c r="J2" s="10">
        <v>28</v>
      </c>
      <c r="K2" s="10"/>
    </row>
    <row r="3" spans="1:12" s="22" customFormat="1" ht="96.6" x14ac:dyDescent="0.3">
      <c r="A3" s="6">
        <v>2</v>
      </c>
      <c r="B3" s="35" t="s">
        <v>374</v>
      </c>
      <c r="C3" s="5" t="s">
        <v>375</v>
      </c>
      <c r="D3" s="6" t="s">
        <v>89</v>
      </c>
      <c r="E3" s="6">
        <v>2</v>
      </c>
      <c r="F3" s="28">
        <f>I3*88*1.35</f>
        <v>149688</v>
      </c>
      <c r="G3" s="28">
        <f>F3*18%</f>
        <v>26943.84</v>
      </c>
      <c r="H3" s="29">
        <f>E3*(F3+G3)</f>
        <v>353263.68</v>
      </c>
      <c r="I3" s="9">
        <v>1260</v>
      </c>
      <c r="J3" s="10">
        <v>860</v>
      </c>
      <c r="K3" s="10"/>
    </row>
    <row r="4" spans="1:12" s="22" customFormat="1" x14ac:dyDescent="0.3">
      <c r="A4" s="107"/>
      <c r="B4" s="108"/>
      <c r="C4" s="108"/>
      <c r="D4" s="108"/>
      <c r="E4" s="108"/>
      <c r="F4" s="108"/>
      <c r="G4" s="108"/>
      <c r="H4" s="109"/>
      <c r="I4" s="3"/>
      <c r="J4" s="12"/>
      <c r="K4" s="3"/>
    </row>
    <row r="5" spans="1:12" s="22" customFormat="1" ht="151.80000000000001" x14ac:dyDescent="0.3">
      <c r="A5" s="13" t="s">
        <v>9</v>
      </c>
      <c r="B5" s="84" t="s">
        <v>376</v>
      </c>
      <c r="C5" s="85"/>
      <c r="D5" s="85"/>
      <c r="E5" s="85"/>
      <c r="F5" s="85"/>
      <c r="G5" s="85"/>
      <c r="H5" s="86"/>
      <c r="I5" s="25"/>
      <c r="J5" s="25"/>
      <c r="K5" s="5"/>
      <c r="L5" s="24"/>
    </row>
    <row r="6" spans="1:12" s="22" customFormat="1" x14ac:dyDescent="0.3">
      <c r="A6" s="3"/>
      <c r="B6" s="3"/>
      <c r="C6" s="3"/>
      <c r="D6" s="3"/>
      <c r="E6" s="3"/>
      <c r="F6" s="3"/>
      <c r="G6" s="3"/>
      <c r="H6" s="3"/>
      <c r="I6" s="3"/>
      <c r="J6" s="12"/>
      <c r="K6" s="5"/>
    </row>
  </sheetData>
  <mergeCells count="2">
    <mergeCell ref="A4:H4"/>
    <mergeCell ref="B5:H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6"/>
  <sheetViews>
    <sheetView workbookViewId="0">
      <selection activeCell="B5" sqref="B5:H5"/>
    </sheetView>
  </sheetViews>
  <sheetFormatPr defaultColWidth="9.109375" defaultRowHeight="13.8" x14ac:dyDescent="0.3"/>
  <cols>
    <col min="1" max="1" width="5.5546875" style="3" bestFit="1" customWidth="1"/>
    <col min="2" max="2" width="17.88671875" style="3" bestFit="1" customWidth="1"/>
    <col min="3" max="3" width="44.44140625" style="3" customWidth="1"/>
    <col min="4" max="4" width="4.88671875" style="3" bestFit="1" customWidth="1"/>
    <col min="5" max="5" width="4" style="3" bestFit="1" customWidth="1"/>
    <col min="6" max="6" width="11.109375" style="3" bestFit="1" customWidth="1"/>
    <col min="7" max="7" width="10.44140625" style="3" bestFit="1" customWidth="1"/>
    <col min="8" max="8" width="11.33203125" style="3" bestFit="1" customWidth="1"/>
    <col min="9" max="9" width="8.109375" style="3" bestFit="1" customWidth="1"/>
    <col min="10" max="10" width="5.5546875" style="12" bestFit="1" customWidth="1"/>
    <col min="11" max="11" width="5.44140625" style="3" bestFit="1" customWidth="1"/>
    <col min="12" max="12" width="13.5546875" style="22" bestFit="1" customWidth="1"/>
    <col min="13" max="13" width="10.44140625" style="22" bestFit="1" customWidth="1"/>
    <col min="14" max="16384" width="9.109375" style="3"/>
  </cols>
  <sheetData>
    <row r="1" spans="1:14" s="22" customFormat="1" ht="27.6" x14ac:dyDescent="0.3">
      <c r="A1" s="27" t="s">
        <v>0</v>
      </c>
      <c r="B1" s="2" t="s">
        <v>372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449</v>
      </c>
      <c r="K1" s="34" t="s">
        <v>377</v>
      </c>
      <c r="L1" s="22" t="s">
        <v>395</v>
      </c>
      <c r="M1" s="22" t="s">
        <v>396</v>
      </c>
      <c r="N1" s="22" t="s">
        <v>297</v>
      </c>
    </row>
    <row r="2" spans="1:14" s="22" customFormat="1" ht="27.6" x14ac:dyDescent="0.3">
      <c r="A2" s="6">
        <v>1</v>
      </c>
      <c r="B2" s="35" t="s">
        <v>378</v>
      </c>
      <c r="C2" s="5" t="s">
        <v>379</v>
      </c>
      <c r="D2" s="6" t="s">
        <v>89</v>
      </c>
      <c r="E2" s="6">
        <v>2</v>
      </c>
      <c r="F2" s="28">
        <f>I2*88*1.32</f>
        <v>365904</v>
      </c>
      <c r="G2" s="28">
        <f>F2*18%</f>
        <v>65862.720000000001</v>
      </c>
      <c r="H2" s="29">
        <f>E2*(F2+G2)</f>
        <v>863533.44</v>
      </c>
      <c r="I2" s="9">
        <v>3150</v>
      </c>
      <c r="J2" s="10">
        <v>3397</v>
      </c>
      <c r="K2" s="10">
        <v>3000</v>
      </c>
      <c r="L2" s="22">
        <v>4112.6499999999996</v>
      </c>
      <c r="M2" s="22">
        <v>3510</v>
      </c>
      <c r="N2" s="22">
        <f>375341/110</f>
        <v>3412.1909090909089</v>
      </c>
    </row>
    <row r="3" spans="1:14" s="22" customFormat="1" ht="27.6" x14ac:dyDescent="0.3">
      <c r="A3" s="6">
        <v>2</v>
      </c>
      <c r="B3" s="35" t="s">
        <v>378</v>
      </c>
      <c r="C3" s="5" t="s">
        <v>380</v>
      </c>
      <c r="D3" s="6" t="s">
        <v>89</v>
      </c>
      <c r="E3" s="6">
        <v>2</v>
      </c>
      <c r="F3" s="28">
        <f>I3*88*1.32</f>
        <v>650496</v>
      </c>
      <c r="G3" s="28">
        <f>F3*18%</f>
        <v>117089.28</v>
      </c>
      <c r="H3" s="29">
        <f>E3*(F3+G3)</f>
        <v>1535170.5600000001</v>
      </c>
      <c r="I3" s="9">
        <v>5600</v>
      </c>
      <c r="J3" s="10">
        <v>6156</v>
      </c>
      <c r="K3" s="10">
        <v>5100</v>
      </c>
      <c r="L3" s="22">
        <v>10758.82</v>
      </c>
      <c r="M3" s="22">
        <v>6363</v>
      </c>
      <c r="N3" s="22">
        <f>669106.75/110</f>
        <v>6082.7886363636362</v>
      </c>
    </row>
    <row r="4" spans="1:14" s="22" customFormat="1" x14ac:dyDescent="0.3">
      <c r="A4" s="107"/>
      <c r="B4" s="108"/>
      <c r="C4" s="108"/>
      <c r="D4" s="108"/>
      <c r="E4" s="108"/>
      <c r="F4" s="108"/>
      <c r="G4" s="108"/>
      <c r="H4" s="109"/>
      <c r="I4" s="3"/>
      <c r="J4" s="12"/>
      <c r="K4" s="3"/>
    </row>
    <row r="5" spans="1:14" s="22" customFormat="1" ht="151.80000000000001" x14ac:dyDescent="0.3">
      <c r="A5" s="13" t="s">
        <v>9</v>
      </c>
      <c r="B5" s="84" t="s">
        <v>381</v>
      </c>
      <c r="C5" s="85"/>
      <c r="D5" s="85"/>
      <c r="E5" s="85"/>
      <c r="F5" s="85"/>
      <c r="G5" s="85"/>
      <c r="H5" s="86"/>
      <c r="I5" s="25"/>
      <c r="J5" s="25"/>
      <c r="K5" s="5"/>
      <c r="L5" s="24"/>
      <c r="M5" s="22">
        <f>16200+2790</f>
        <v>18990</v>
      </c>
    </row>
    <row r="6" spans="1:14" s="22" customFormat="1" x14ac:dyDescent="0.3">
      <c r="A6" s="3"/>
      <c r="B6" s="3"/>
      <c r="C6" s="3"/>
      <c r="D6" s="3"/>
      <c r="E6" s="3"/>
      <c r="F6" s="3"/>
      <c r="G6" s="3"/>
      <c r="H6" s="3"/>
      <c r="I6" s="3"/>
      <c r="J6" s="12"/>
      <c r="K6" s="5"/>
    </row>
  </sheetData>
  <mergeCells count="2">
    <mergeCell ref="A4:H4"/>
    <mergeCell ref="B5:H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N6"/>
  <sheetViews>
    <sheetView workbookViewId="0">
      <selection activeCell="C2" sqref="C2"/>
    </sheetView>
  </sheetViews>
  <sheetFormatPr defaultColWidth="9.109375" defaultRowHeight="13.8" x14ac:dyDescent="0.3"/>
  <cols>
    <col min="1" max="1" width="5.5546875" style="3" bestFit="1" customWidth="1"/>
    <col min="2" max="2" width="17.88671875" style="3" bestFit="1" customWidth="1"/>
    <col min="3" max="3" width="44.44140625" style="3" customWidth="1"/>
    <col min="4" max="4" width="4.88671875" style="3" bestFit="1" customWidth="1"/>
    <col min="5" max="5" width="4" style="3" bestFit="1" customWidth="1"/>
    <col min="6" max="6" width="11.109375" style="3" bestFit="1" customWidth="1"/>
    <col min="7" max="7" width="10.44140625" style="3" bestFit="1" customWidth="1"/>
    <col min="8" max="8" width="11.33203125" style="3" bestFit="1" customWidth="1"/>
    <col min="9" max="9" width="8.109375" style="3" bestFit="1" customWidth="1"/>
    <col min="10" max="10" width="5.5546875" style="12" bestFit="1" customWidth="1"/>
    <col min="11" max="11" width="5.44140625" style="3" bestFit="1" customWidth="1"/>
    <col min="12" max="12" width="13.5546875" style="22" bestFit="1" customWidth="1"/>
    <col min="13" max="13" width="10.44140625" style="22" bestFit="1" customWidth="1"/>
    <col min="14" max="16384" width="9.109375" style="3"/>
  </cols>
  <sheetData>
    <row r="1" spans="1:14" s="22" customFormat="1" ht="27.6" x14ac:dyDescent="0.3">
      <c r="A1" s="27" t="s">
        <v>0</v>
      </c>
      <c r="B1" s="2" t="s">
        <v>397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60</v>
      </c>
      <c r="K1" s="34" t="s">
        <v>377</v>
      </c>
      <c r="L1" s="22" t="s">
        <v>395</v>
      </c>
      <c r="M1" s="22" t="s">
        <v>396</v>
      </c>
      <c r="N1" s="22" t="s">
        <v>297</v>
      </c>
    </row>
    <row r="2" spans="1:14" s="22" customFormat="1" ht="96.6" x14ac:dyDescent="0.3">
      <c r="A2" s="6">
        <v>1</v>
      </c>
      <c r="B2" s="35" t="s">
        <v>398</v>
      </c>
      <c r="C2" s="5" t="s">
        <v>399</v>
      </c>
      <c r="D2" s="6" t="s">
        <v>89</v>
      </c>
      <c r="E2" s="6">
        <v>1</v>
      </c>
      <c r="F2" s="28">
        <f>I2*88*1.32</f>
        <v>151008</v>
      </c>
      <c r="G2" s="28">
        <f>F2*18%</f>
        <v>27181.439999999999</v>
      </c>
      <c r="H2" s="29">
        <f>E2*(F2+G2)</f>
        <v>178189.44</v>
      </c>
      <c r="I2" s="9">
        <v>1300</v>
      </c>
      <c r="J2" s="10"/>
      <c r="K2" s="10"/>
    </row>
    <row r="3" spans="1:14" s="22" customFormat="1" ht="41.4" x14ac:dyDescent="0.3">
      <c r="A3" s="6">
        <v>2</v>
      </c>
      <c r="B3" s="35" t="s">
        <v>330</v>
      </c>
      <c r="C3" s="5" t="s">
        <v>400</v>
      </c>
      <c r="D3" s="6" t="s">
        <v>89</v>
      </c>
      <c r="E3" s="6">
        <v>1</v>
      </c>
      <c r="F3" s="28">
        <f>I3*88*1.32</f>
        <v>1045440</v>
      </c>
      <c r="G3" s="28">
        <f>F3*18%</f>
        <v>188179.19999999998</v>
      </c>
      <c r="H3" s="29">
        <f>E3*(F3+G3)</f>
        <v>1233619.2</v>
      </c>
      <c r="I3" s="9">
        <v>9000</v>
      </c>
      <c r="J3" s="10"/>
      <c r="K3" s="10">
        <v>5100</v>
      </c>
    </row>
    <row r="4" spans="1:14" s="22" customFormat="1" x14ac:dyDescent="0.3">
      <c r="A4" s="107"/>
      <c r="B4" s="108"/>
      <c r="C4" s="108"/>
      <c r="D4" s="108"/>
      <c r="E4" s="108"/>
      <c r="F4" s="108"/>
      <c r="G4" s="108"/>
      <c r="H4" s="109"/>
      <c r="I4" s="3"/>
      <c r="J4" s="12"/>
      <c r="K4" s="3"/>
    </row>
    <row r="5" spans="1:14" s="22" customFormat="1" ht="151.80000000000001" x14ac:dyDescent="0.3">
      <c r="A5" s="13" t="s">
        <v>9</v>
      </c>
      <c r="B5" s="84" t="s">
        <v>381</v>
      </c>
      <c r="C5" s="85"/>
      <c r="D5" s="85"/>
      <c r="E5" s="85"/>
      <c r="F5" s="85"/>
      <c r="G5" s="85"/>
      <c r="H5" s="86"/>
      <c r="I5" s="25"/>
      <c r="J5" s="25"/>
      <c r="K5" s="5"/>
      <c r="L5" s="24"/>
      <c r="M5" s="22">
        <f>16200+2790</f>
        <v>18990</v>
      </c>
    </row>
    <row r="6" spans="1:14" s="22" customFormat="1" x14ac:dyDescent="0.3">
      <c r="A6" s="3"/>
      <c r="B6" s="3"/>
      <c r="C6" s="3"/>
      <c r="D6" s="3"/>
      <c r="E6" s="3"/>
      <c r="F6" s="3"/>
      <c r="G6" s="3"/>
      <c r="H6" s="3"/>
      <c r="I6" s="3"/>
      <c r="J6" s="12"/>
      <c r="K6" s="5"/>
    </row>
  </sheetData>
  <mergeCells count="2">
    <mergeCell ref="A4:H4"/>
    <mergeCell ref="B5:H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5"/>
  <sheetViews>
    <sheetView workbookViewId="0">
      <selection activeCell="B4" sqref="B4:H4"/>
    </sheetView>
  </sheetViews>
  <sheetFormatPr defaultColWidth="9.109375" defaultRowHeight="13.8" x14ac:dyDescent="0.3"/>
  <cols>
    <col min="1" max="1" width="5.5546875" style="3" bestFit="1" customWidth="1"/>
    <col min="2" max="2" width="17.88671875" style="3" bestFit="1" customWidth="1"/>
    <col min="3" max="3" width="44.44140625" style="3" customWidth="1"/>
    <col min="4" max="4" width="4.88671875" style="3" bestFit="1" customWidth="1"/>
    <col min="5" max="5" width="4" style="3" bestFit="1" customWidth="1"/>
    <col min="6" max="6" width="11.109375" style="3" bestFit="1" customWidth="1"/>
    <col min="7" max="7" width="10.44140625" style="3" bestFit="1" customWidth="1"/>
    <col min="8" max="8" width="11.33203125" style="3" bestFit="1" customWidth="1"/>
    <col min="9" max="9" width="8.109375" style="3" bestFit="1" customWidth="1"/>
    <col min="10" max="10" width="5.5546875" style="12" bestFit="1" customWidth="1"/>
    <col min="11" max="11" width="5.44140625" style="3" bestFit="1" customWidth="1"/>
    <col min="12" max="12" width="13.5546875" style="22" bestFit="1" customWidth="1"/>
    <col min="13" max="13" width="10.44140625" style="22" bestFit="1" customWidth="1"/>
    <col min="14" max="16384" width="9.109375" style="3"/>
  </cols>
  <sheetData>
    <row r="1" spans="1:14" s="22" customFormat="1" ht="27.6" x14ac:dyDescent="0.3">
      <c r="A1" s="27" t="s">
        <v>0</v>
      </c>
      <c r="B1" s="2" t="s">
        <v>397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60</v>
      </c>
      <c r="K1" s="34" t="s">
        <v>377</v>
      </c>
      <c r="L1" s="22" t="s">
        <v>395</v>
      </c>
      <c r="M1" s="22" t="s">
        <v>396</v>
      </c>
      <c r="N1" s="22" t="s">
        <v>297</v>
      </c>
    </row>
    <row r="2" spans="1:14" s="22" customFormat="1" ht="27.6" x14ac:dyDescent="0.3">
      <c r="A2" s="6">
        <v>1</v>
      </c>
      <c r="B2" s="35" t="s">
        <v>402</v>
      </c>
      <c r="C2" s="5" t="s">
        <v>403</v>
      </c>
      <c r="D2" s="6" t="s">
        <v>89</v>
      </c>
      <c r="E2" s="6">
        <v>2</v>
      </c>
      <c r="F2" s="28">
        <f>I2*88*1.28</f>
        <v>214016</v>
      </c>
      <c r="G2" s="28">
        <f>F2*18%</f>
        <v>38522.879999999997</v>
      </c>
      <c r="H2" s="29">
        <f>E2*(F2+G2)</f>
        <v>505077.76000000001</v>
      </c>
      <c r="I2" s="9">
        <v>1900</v>
      </c>
      <c r="J2" s="10">
        <v>1888</v>
      </c>
      <c r="K2" s="10"/>
    </row>
    <row r="3" spans="1:14" s="22" customFormat="1" x14ac:dyDescent="0.3">
      <c r="A3" s="107"/>
      <c r="B3" s="108"/>
      <c r="C3" s="108"/>
      <c r="D3" s="108"/>
      <c r="E3" s="108"/>
      <c r="F3" s="108"/>
      <c r="G3" s="108"/>
      <c r="H3" s="109"/>
      <c r="I3" s="3"/>
      <c r="J3" s="12"/>
      <c r="K3" s="3"/>
    </row>
    <row r="4" spans="1:14" s="22" customFormat="1" ht="151.80000000000001" x14ac:dyDescent="0.3">
      <c r="A4" s="13" t="s">
        <v>9</v>
      </c>
      <c r="B4" s="84" t="s">
        <v>404</v>
      </c>
      <c r="C4" s="85"/>
      <c r="D4" s="85"/>
      <c r="E4" s="85"/>
      <c r="F4" s="85"/>
      <c r="G4" s="85"/>
      <c r="H4" s="86"/>
      <c r="I4" s="25"/>
      <c r="J4" s="25"/>
      <c r="K4" s="5"/>
      <c r="L4" s="24"/>
      <c r="M4" s="22">
        <f>16200+2790</f>
        <v>18990</v>
      </c>
    </row>
    <row r="5" spans="1:14" s="22" customFormat="1" x14ac:dyDescent="0.3">
      <c r="A5" s="3"/>
      <c r="B5" s="3"/>
      <c r="C5" s="3"/>
      <c r="D5" s="3"/>
      <c r="E5" s="3"/>
      <c r="F5" s="3"/>
      <c r="G5" s="3"/>
      <c r="H5" s="3"/>
      <c r="I5" s="3"/>
      <c r="J5" s="12"/>
      <c r="K5" s="5"/>
    </row>
  </sheetData>
  <mergeCells count="2">
    <mergeCell ref="A3:H3"/>
    <mergeCell ref="B4:H4"/>
  </mergeCell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8"/>
  <sheetViews>
    <sheetView workbookViewId="0">
      <selection activeCell="I4" sqref="I4:I5"/>
    </sheetView>
  </sheetViews>
  <sheetFormatPr defaultColWidth="9.109375" defaultRowHeight="13.8" x14ac:dyDescent="0.3"/>
  <cols>
    <col min="1" max="1" width="5.5546875" style="3" bestFit="1" customWidth="1"/>
    <col min="2" max="2" width="17.88671875" style="3" bestFit="1" customWidth="1"/>
    <col min="3" max="3" width="44.44140625" style="3" customWidth="1"/>
    <col min="4" max="4" width="4.88671875" style="3" bestFit="1" customWidth="1"/>
    <col min="5" max="5" width="4" style="3" bestFit="1" customWidth="1"/>
    <col min="6" max="6" width="11.109375" style="3" bestFit="1" customWidth="1"/>
    <col min="7" max="7" width="10.44140625" style="3" bestFit="1" customWidth="1"/>
    <col min="8" max="8" width="11.33203125" style="3" bestFit="1" customWidth="1"/>
    <col min="9" max="9" width="8.109375" style="3" bestFit="1" customWidth="1"/>
    <col min="10" max="10" width="5.5546875" style="12" bestFit="1" customWidth="1"/>
    <col min="11" max="11" width="5.44140625" style="3" bestFit="1" customWidth="1"/>
    <col min="12" max="12" width="13.5546875" style="22" bestFit="1" customWidth="1"/>
    <col min="13" max="13" width="10.44140625" style="22" bestFit="1" customWidth="1"/>
    <col min="14" max="16384" width="9.109375" style="3"/>
  </cols>
  <sheetData>
    <row r="1" spans="1:14" s="22" customFormat="1" ht="27.6" x14ac:dyDescent="0.3">
      <c r="A1" s="27" t="s">
        <v>0</v>
      </c>
      <c r="B1" s="2" t="s">
        <v>397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86</v>
      </c>
      <c r="K1" s="34" t="s">
        <v>377</v>
      </c>
      <c r="L1" s="22" t="s">
        <v>395</v>
      </c>
      <c r="M1" s="22" t="s">
        <v>396</v>
      </c>
      <c r="N1" s="22" t="s">
        <v>297</v>
      </c>
    </row>
    <row r="2" spans="1:14" s="22" customFormat="1" ht="41.4" x14ac:dyDescent="0.3">
      <c r="A2" s="6">
        <v>1</v>
      </c>
      <c r="B2" s="35" t="s">
        <v>405</v>
      </c>
      <c r="C2" s="35" t="s">
        <v>412</v>
      </c>
      <c r="D2" s="6" t="s">
        <v>89</v>
      </c>
      <c r="E2" s="6">
        <v>1</v>
      </c>
      <c r="F2" s="28">
        <f>I2*87*1.3</f>
        <v>475020</v>
      </c>
      <c r="G2" s="28">
        <f t="shared" ref="G2:G4" si="0">F2*18%</f>
        <v>85503.599999999991</v>
      </c>
      <c r="H2" s="29">
        <f t="shared" ref="H2:H4" si="1">E2*(F2+G2)</f>
        <v>560523.6</v>
      </c>
      <c r="I2" s="9">
        <f>J2</f>
        <v>4200</v>
      </c>
      <c r="J2" s="10">
        <v>4200</v>
      </c>
      <c r="K2" s="10"/>
    </row>
    <row r="3" spans="1:14" s="22" customFormat="1" ht="41.4" x14ac:dyDescent="0.3">
      <c r="A3" s="6">
        <v>2</v>
      </c>
      <c r="B3" s="35" t="s">
        <v>406</v>
      </c>
      <c r="C3" s="35" t="s">
        <v>413</v>
      </c>
      <c r="D3" s="6" t="s">
        <v>89</v>
      </c>
      <c r="E3" s="6">
        <v>1</v>
      </c>
      <c r="F3" s="28">
        <f t="shared" ref="F3:F5" si="2">I3*87*1.3</f>
        <v>511212</v>
      </c>
      <c r="G3" s="28">
        <f t="shared" si="0"/>
        <v>92018.16</v>
      </c>
      <c r="H3" s="29">
        <f t="shared" si="1"/>
        <v>603230.16</v>
      </c>
      <c r="I3" s="9">
        <f t="shared" ref="I3:I5" si="3">J3</f>
        <v>4520</v>
      </c>
      <c r="J3" s="10">
        <v>4520</v>
      </c>
      <c r="K3" s="10"/>
    </row>
    <row r="4" spans="1:14" s="22" customFormat="1" ht="27.6" x14ac:dyDescent="0.3">
      <c r="A4" s="6">
        <v>3</v>
      </c>
      <c r="B4" s="35" t="s">
        <v>405</v>
      </c>
      <c r="C4" s="35" t="s">
        <v>410</v>
      </c>
      <c r="D4" s="6" t="s">
        <v>89</v>
      </c>
      <c r="E4" s="6">
        <v>2</v>
      </c>
      <c r="F4" s="28">
        <f t="shared" si="2"/>
        <v>221676</v>
      </c>
      <c r="G4" s="28">
        <f t="shared" si="0"/>
        <v>39901.68</v>
      </c>
      <c r="H4" s="29">
        <f t="shared" si="1"/>
        <v>523155.36</v>
      </c>
      <c r="I4" s="9">
        <f t="shared" si="3"/>
        <v>1960</v>
      </c>
      <c r="J4" s="10">
        <v>1960</v>
      </c>
      <c r="K4" s="10"/>
    </row>
    <row r="5" spans="1:14" s="22" customFormat="1" ht="27.6" x14ac:dyDescent="0.3">
      <c r="A5" s="6">
        <v>4</v>
      </c>
      <c r="B5" s="35" t="s">
        <v>406</v>
      </c>
      <c r="C5" s="35" t="s">
        <v>411</v>
      </c>
      <c r="D5" s="6" t="s">
        <v>89</v>
      </c>
      <c r="E5" s="6">
        <v>2</v>
      </c>
      <c r="F5" s="28">
        <f t="shared" si="2"/>
        <v>221676</v>
      </c>
      <c r="G5" s="28">
        <f>F5*18%</f>
        <v>39901.68</v>
      </c>
      <c r="H5" s="29">
        <f>E5*(F5+G5)</f>
        <v>523155.36</v>
      </c>
      <c r="I5" s="9">
        <f t="shared" si="3"/>
        <v>1960</v>
      </c>
      <c r="J5" s="10">
        <v>1960</v>
      </c>
      <c r="K5" s="10"/>
    </row>
    <row r="6" spans="1:14" s="22" customFormat="1" x14ac:dyDescent="0.3">
      <c r="A6" s="107"/>
      <c r="B6" s="108"/>
      <c r="C6" s="108"/>
      <c r="D6" s="108"/>
      <c r="E6" s="108"/>
      <c r="F6" s="108"/>
      <c r="G6" s="108"/>
      <c r="H6" s="109"/>
      <c r="I6" s="3"/>
      <c r="J6" s="12"/>
      <c r="K6" s="3"/>
    </row>
    <row r="7" spans="1:14" s="22" customFormat="1" ht="151.80000000000001" x14ac:dyDescent="0.3">
      <c r="A7" s="13" t="s">
        <v>9</v>
      </c>
      <c r="B7" s="84" t="s">
        <v>381</v>
      </c>
      <c r="C7" s="85"/>
      <c r="D7" s="85"/>
      <c r="E7" s="85"/>
      <c r="F7" s="85"/>
      <c r="G7" s="85"/>
      <c r="H7" s="86"/>
      <c r="I7" s="25"/>
      <c r="J7" s="25"/>
      <c r="K7" s="5"/>
      <c r="L7" s="24"/>
      <c r="M7" s="22">
        <f>16200+2790</f>
        <v>18990</v>
      </c>
    </row>
    <row r="8" spans="1:14" s="22" customFormat="1" x14ac:dyDescent="0.3">
      <c r="A8" s="3"/>
      <c r="B8" s="3"/>
      <c r="C8" s="3"/>
      <c r="D8" s="3"/>
      <c r="E8" s="3"/>
      <c r="F8" s="3"/>
      <c r="G8" s="3"/>
      <c r="H8" s="3"/>
      <c r="I8" s="3"/>
      <c r="J8" s="12"/>
      <c r="K8" s="5"/>
    </row>
  </sheetData>
  <mergeCells count="2">
    <mergeCell ref="A6:H6"/>
    <mergeCell ref="B7:H7"/>
  </mergeCells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5"/>
  <sheetViews>
    <sheetView workbookViewId="0">
      <selection activeCell="C2" sqref="C2"/>
    </sheetView>
  </sheetViews>
  <sheetFormatPr defaultColWidth="9.109375" defaultRowHeight="13.8" x14ac:dyDescent="0.3"/>
  <cols>
    <col min="1" max="1" width="5.5546875" style="3" bestFit="1" customWidth="1"/>
    <col min="2" max="2" width="17.88671875" style="3" bestFit="1" customWidth="1"/>
    <col min="3" max="3" width="44.44140625" style="3" customWidth="1"/>
    <col min="4" max="4" width="4.88671875" style="3" bestFit="1" customWidth="1"/>
    <col min="5" max="5" width="4" style="3" bestFit="1" customWidth="1"/>
    <col min="6" max="6" width="12.5546875" style="3" bestFit="1" customWidth="1"/>
    <col min="7" max="7" width="11.33203125" style="3" bestFit="1" customWidth="1"/>
    <col min="8" max="8" width="12.5546875" style="3" bestFit="1" customWidth="1"/>
    <col min="9" max="9" width="8.109375" style="3" bestFit="1" customWidth="1"/>
    <col min="10" max="10" width="5.5546875" style="12" bestFit="1" customWidth="1"/>
    <col min="11" max="11" width="5.44140625" style="3" bestFit="1" customWidth="1"/>
    <col min="12" max="12" width="13.5546875" style="22" bestFit="1" customWidth="1"/>
    <col min="13" max="13" width="10.44140625" style="22" bestFit="1" customWidth="1"/>
    <col min="14" max="16384" width="9.109375" style="3"/>
  </cols>
  <sheetData>
    <row r="1" spans="1:14" s="22" customFormat="1" ht="27.6" x14ac:dyDescent="0.3">
      <c r="A1" s="27" t="s">
        <v>0</v>
      </c>
      <c r="B1" s="2" t="s">
        <v>397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86</v>
      </c>
      <c r="K1" s="34" t="s">
        <v>377</v>
      </c>
      <c r="L1" s="22" t="s">
        <v>395</v>
      </c>
      <c r="M1" s="22" t="s">
        <v>396</v>
      </c>
      <c r="N1" s="22" t="s">
        <v>297</v>
      </c>
    </row>
    <row r="2" spans="1:14" s="22" customFormat="1" ht="124.2" x14ac:dyDescent="0.3">
      <c r="A2" s="6">
        <v>1</v>
      </c>
      <c r="B2" s="35" t="s">
        <v>407</v>
      </c>
      <c r="C2" s="35" t="s">
        <v>408</v>
      </c>
      <c r="D2" s="6" t="s">
        <v>89</v>
      </c>
      <c r="E2" s="6">
        <v>1</v>
      </c>
      <c r="F2" s="28">
        <f t="shared" ref="F2" si="0">I2*88*1.28</f>
        <v>11061248</v>
      </c>
      <c r="G2" s="28">
        <f t="shared" ref="G2" si="1">F2*18%</f>
        <v>1991024.6399999999</v>
      </c>
      <c r="H2" s="29">
        <f t="shared" ref="H2" si="2">E2*(F2+G2)</f>
        <v>13052272.640000001</v>
      </c>
      <c r="I2" s="9">
        <v>98200</v>
      </c>
      <c r="J2" s="10">
        <v>92800</v>
      </c>
      <c r="K2" s="10"/>
    </row>
    <row r="3" spans="1:14" s="22" customFormat="1" x14ac:dyDescent="0.3">
      <c r="A3" s="107"/>
      <c r="B3" s="108"/>
      <c r="C3" s="108"/>
      <c r="D3" s="108"/>
      <c r="E3" s="108"/>
      <c r="F3" s="108"/>
      <c r="G3" s="108"/>
      <c r="H3" s="109"/>
      <c r="I3" s="3"/>
      <c r="J3" s="12"/>
      <c r="K3" s="3"/>
    </row>
    <row r="4" spans="1:14" s="22" customFormat="1" ht="151.80000000000001" x14ac:dyDescent="0.3">
      <c r="A4" s="13" t="s">
        <v>9</v>
      </c>
      <c r="B4" s="84" t="s">
        <v>409</v>
      </c>
      <c r="C4" s="85"/>
      <c r="D4" s="85"/>
      <c r="E4" s="85"/>
      <c r="F4" s="85"/>
      <c r="G4" s="85"/>
      <c r="H4" s="86"/>
      <c r="I4" s="25"/>
      <c r="J4" s="25"/>
      <c r="K4" s="5"/>
      <c r="L4" s="24"/>
    </row>
    <row r="5" spans="1:14" s="22" customFormat="1" x14ac:dyDescent="0.3">
      <c r="A5" s="3"/>
      <c r="B5" s="3"/>
      <c r="C5" s="3"/>
      <c r="D5" s="3"/>
      <c r="E5" s="3"/>
      <c r="F5" s="3"/>
      <c r="G5" s="3"/>
      <c r="H5" s="3"/>
      <c r="I5" s="3"/>
      <c r="J5" s="12"/>
      <c r="K5" s="5"/>
    </row>
  </sheetData>
  <mergeCells count="2">
    <mergeCell ref="A3:H3"/>
    <mergeCell ref="B4:H4"/>
  </mergeCells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N5"/>
  <sheetViews>
    <sheetView workbookViewId="0">
      <selection sqref="A1:H4"/>
    </sheetView>
  </sheetViews>
  <sheetFormatPr defaultColWidth="9.109375" defaultRowHeight="13.8" x14ac:dyDescent="0.3"/>
  <cols>
    <col min="1" max="1" width="5.5546875" style="3" bestFit="1" customWidth="1"/>
    <col min="2" max="2" width="17.88671875" style="3" bestFit="1" customWidth="1"/>
    <col min="3" max="3" width="44.44140625" style="3" customWidth="1"/>
    <col min="4" max="4" width="4.88671875" style="3" bestFit="1" customWidth="1"/>
    <col min="5" max="5" width="4" style="3" bestFit="1" customWidth="1"/>
    <col min="6" max="6" width="12.5546875" style="3" bestFit="1" customWidth="1"/>
    <col min="7" max="7" width="11.33203125" style="3" bestFit="1" customWidth="1"/>
    <col min="8" max="8" width="12.5546875" style="3" bestFit="1" customWidth="1"/>
    <col min="9" max="9" width="8.109375" style="3" bestFit="1" customWidth="1"/>
    <col min="10" max="10" width="5.5546875" style="12" bestFit="1" customWidth="1"/>
    <col min="11" max="11" width="5.44140625" style="3" bestFit="1" customWidth="1"/>
    <col min="12" max="12" width="13.5546875" style="22" bestFit="1" customWidth="1"/>
    <col min="13" max="13" width="10.44140625" style="22" bestFit="1" customWidth="1"/>
    <col min="14" max="16384" width="9.109375" style="3"/>
  </cols>
  <sheetData>
    <row r="1" spans="1:14" s="22" customFormat="1" ht="27.6" x14ac:dyDescent="0.3">
      <c r="A1" s="27" t="s">
        <v>0</v>
      </c>
      <c r="B1" s="2" t="s">
        <v>397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86</v>
      </c>
      <c r="K1" s="34" t="s">
        <v>377</v>
      </c>
      <c r="L1" s="22" t="s">
        <v>395</v>
      </c>
      <c r="M1" s="22" t="s">
        <v>396</v>
      </c>
      <c r="N1" s="22" t="s">
        <v>297</v>
      </c>
    </row>
    <row r="2" spans="1:14" s="22" customFormat="1" ht="55.2" x14ac:dyDescent="0.3">
      <c r="A2" s="6">
        <v>1</v>
      </c>
      <c r="B2" s="35" t="s">
        <v>414</v>
      </c>
      <c r="C2" s="35" t="s">
        <v>415</v>
      </c>
      <c r="D2" s="6" t="s">
        <v>89</v>
      </c>
      <c r="E2" s="6">
        <v>2</v>
      </c>
      <c r="F2" s="28">
        <f>I2*88*1.3</f>
        <v>21964.799999999999</v>
      </c>
      <c r="G2" s="28">
        <f t="shared" ref="G2" si="0">F2*18%</f>
        <v>3953.6639999999998</v>
      </c>
      <c r="H2" s="29">
        <f t="shared" ref="H2" si="1">E2*(F2+G2)</f>
        <v>51836.928</v>
      </c>
      <c r="I2" s="9">
        <v>192</v>
      </c>
      <c r="J2" s="10">
        <v>92</v>
      </c>
      <c r="K2" s="10"/>
    </row>
    <row r="3" spans="1:14" s="22" customFormat="1" x14ac:dyDescent="0.3">
      <c r="A3" s="107"/>
      <c r="B3" s="108"/>
      <c r="C3" s="108"/>
      <c r="D3" s="108"/>
      <c r="E3" s="108"/>
      <c r="F3" s="108"/>
      <c r="G3" s="108"/>
      <c r="H3" s="109"/>
      <c r="I3" s="3"/>
      <c r="J3" s="12"/>
      <c r="K3" s="3"/>
    </row>
    <row r="4" spans="1:14" s="22" customFormat="1" ht="151.80000000000001" x14ac:dyDescent="0.3">
      <c r="A4" s="13" t="s">
        <v>9</v>
      </c>
      <c r="B4" s="84" t="s">
        <v>409</v>
      </c>
      <c r="C4" s="85"/>
      <c r="D4" s="85"/>
      <c r="E4" s="85"/>
      <c r="F4" s="85"/>
      <c r="G4" s="85"/>
      <c r="H4" s="86"/>
      <c r="I4" s="25"/>
      <c r="J4" s="25"/>
      <c r="K4" s="5"/>
      <c r="L4" s="24"/>
    </row>
    <row r="5" spans="1:14" s="22" customFormat="1" x14ac:dyDescent="0.3">
      <c r="A5" s="3"/>
      <c r="B5" s="3"/>
      <c r="C5" s="3"/>
      <c r="D5" s="3"/>
      <c r="E5" s="3"/>
      <c r="F5" s="3"/>
      <c r="G5" s="3"/>
      <c r="H5" s="3"/>
      <c r="I5" s="3"/>
      <c r="J5" s="12"/>
      <c r="K5" s="5"/>
    </row>
  </sheetData>
  <mergeCells count="2">
    <mergeCell ref="A3:H3"/>
    <mergeCell ref="B4:H4"/>
  </mergeCells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M6"/>
  <sheetViews>
    <sheetView workbookViewId="0">
      <selection activeCell="D2" sqref="D2"/>
    </sheetView>
  </sheetViews>
  <sheetFormatPr defaultColWidth="9.109375" defaultRowHeight="13.8" x14ac:dyDescent="0.3"/>
  <cols>
    <col min="1" max="1" width="5.88671875" style="3" bestFit="1" customWidth="1"/>
    <col min="2" max="2" width="5.6640625" style="3" bestFit="1" customWidth="1"/>
    <col min="3" max="3" width="8.5546875" style="3" bestFit="1" customWidth="1"/>
    <col min="4" max="4" width="52.33203125" style="3" customWidth="1"/>
    <col min="5" max="5" width="5" style="3" bestFit="1" customWidth="1"/>
    <col min="6" max="6" width="4" style="3" bestFit="1" customWidth="1"/>
    <col min="7" max="8" width="13.33203125" style="3" bestFit="1" customWidth="1"/>
    <col min="9" max="9" width="16.5546875" style="3" bestFit="1" customWidth="1"/>
    <col min="10" max="10" width="9.109375" style="3"/>
    <col min="11" max="11" width="14" style="12" bestFit="1" customWidth="1"/>
    <col min="12" max="12" width="19.5546875" style="3" customWidth="1"/>
    <col min="13" max="13" width="11.33203125" style="3" bestFit="1" customWidth="1"/>
    <col min="14" max="14" width="10.44140625" style="3" bestFit="1" customWidth="1"/>
    <col min="15" max="16384" width="9.109375" style="3"/>
  </cols>
  <sheetData>
    <row r="1" spans="1:13" ht="27.6" x14ac:dyDescent="0.3">
      <c r="A1" s="1" t="s">
        <v>0</v>
      </c>
      <c r="B1" s="2" t="s">
        <v>48</v>
      </c>
      <c r="C1" s="2" t="s">
        <v>49</v>
      </c>
      <c r="D1" s="2" t="s">
        <v>1</v>
      </c>
      <c r="E1" s="2" t="s">
        <v>2</v>
      </c>
      <c r="F1" s="2" t="s">
        <v>55</v>
      </c>
      <c r="G1" s="1" t="s">
        <v>3</v>
      </c>
      <c r="H1" s="1" t="s">
        <v>56</v>
      </c>
      <c r="I1" s="1" t="s">
        <v>4</v>
      </c>
      <c r="J1" s="3" t="s">
        <v>5</v>
      </c>
      <c r="K1" s="3" t="s">
        <v>60</v>
      </c>
      <c r="L1" s="3" t="s">
        <v>111</v>
      </c>
      <c r="M1" s="3" t="s">
        <v>45</v>
      </c>
    </row>
    <row r="2" spans="1:13" ht="55.2" x14ac:dyDescent="0.3">
      <c r="A2" s="4">
        <v>1</v>
      </c>
      <c r="B2" s="4" t="s">
        <v>50</v>
      </c>
      <c r="C2" s="4" t="s">
        <v>50</v>
      </c>
      <c r="D2" s="5" t="s">
        <v>108</v>
      </c>
      <c r="E2" s="6" t="s">
        <v>6</v>
      </c>
      <c r="F2" s="4">
        <v>4</v>
      </c>
      <c r="G2" s="7">
        <v>35000</v>
      </c>
      <c r="H2" s="7">
        <f t="shared" ref="H2:H4" si="0">G2*18%</f>
        <v>6300</v>
      </c>
      <c r="I2" s="8">
        <f t="shared" ref="I2:I4" si="1">F2*(G2+H2)</f>
        <v>165200</v>
      </c>
      <c r="J2" s="9">
        <f>K2*88*1.3</f>
        <v>33290.400000000001</v>
      </c>
      <c r="K2" s="10">
        <v>291</v>
      </c>
      <c r="L2" s="10">
        <v>37449</v>
      </c>
    </row>
    <row r="3" spans="1:13" ht="55.2" x14ac:dyDescent="0.3">
      <c r="A3" s="4">
        <v>2</v>
      </c>
      <c r="B3" s="4" t="s">
        <v>50</v>
      </c>
      <c r="C3" s="4" t="s">
        <v>50</v>
      </c>
      <c r="D3" s="5" t="s">
        <v>109</v>
      </c>
      <c r="E3" s="6" t="s">
        <v>6</v>
      </c>
      <c r="F3" s="4">
        <v>8</v>
      </c>
      <c r="G3" s="7">
        <v>39000</v>
      </c>
      <c r="H3" s="7">
        <f t="shared" si="0"/>
        <v>7020</v>
      </c>
      <c r="I3" s="8">
        <f t="shared" si="1"/>
        <v>368160</v>
      </c>
      <c r="J3" s="9">
        <f t="shared" ref="J3:J4" si="2">K3*88*1.3</f>
        <v>37523.200000000004</v>
      </c>
      <c r="K3" s="10">
        <v>328</v>
      </c>
      <c r="L3" s="10">
        <v>42579</v>
      </c>
    </row>
    <row r="4" spans="1:13" ht="55.2" x14ac:dyDescent="0.3">
      <c r="A4" s="4">
        <v>3</v>
      </c>
      <c r="B4" s="4" t="s">
        <v>50</v>
      </c>
      <c r="C4" s="4" t="s">
        <v>50</v>
      </c>
      <c r="D4" s="5" t="s">
        <v>110</v>
      </c>
      <c r="E4" s="6" t="s">
        <v>6</v>
      </c>
      <c r="F4" s="4">
        <v>10</v>
      </c>
      <c r="G4" s="7">
        <v>35000</v>
      </c>
      <c r="H4" s="7">
        <f t="shared" si="0"/>
        <v>6300</v>
      </c>
      <c r="I4" s="8">
        <f t="shared" si="1"/>
        <v>413000</v>
      </c>
      <c r="J4" s="9">
        <f t="shared" si="2"/>
        <v>33290.400000000001</v>
      </c>
      <c r="K4" s="10">
        <v>291</v>
      </c>
      <c r="L4" s="10">
        <v>37449</v>
      </c>
    </row>
    <row r="5" spans="1:13" x14ac:dyDescent="0.3">
      <c r="A5" s="105"/>
      <c r="B5" s="105"/>
      <c r="C5" s="105"/>
      <c r="D5" s="105"/>
      <c r="E5" s="105"/>
      <c r="F5" s="105"/>
      <c r="G5" s="105"/>
      <c r="H5" s="105"/>
      <c r="I5" s="105"/>
    </row>
    <row r="6" spans="1:13" ht="143.1" customHeight="1" x14ac:dyDescent="0.3">
      <c r="A6" s="55" t="s">
        <v>9</v>
      </c>
      <c r="B6" s="104" t="s">
        <v>101</v>
      </c>
      <c r="C6" s="104"/>
      <c r="D6" s="104"/>
      <c r="E6" s="104"/>
      <c r="F6" s="104"/>
      <c r="G6" s="104"/>
      <c r="H6" s="104"/>
      <c r="I6" s="104"/>
      <c r="J6" s="12"/>
      <c r="K6" s="3"/>
    </row>
  </sheetData>
  <mergeCells count="2">
    <mergeCell ref="A5:I5"/>
    <mergeCell ref="B6:I6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6"/>
  <sheetViews>
    <sheetView workbookViewId="0">
      <selection activeCell="A5" sqref="A1:H5"/>
    </sheetView>
  </sheetViews>
  <sheetFormatPr defaultColWidth="9.109375" defaultRowHeight="13.8" x14ac:dyDescent="0.3"/>
  <cols>
    <col min="1" max="1" width="5.5546875" style="3" bestFit="1" customWidth="1"/>
    <col min="2" max="2" width="17.88671875" style="3" bestFit="1" customWidth="1"/>
    <col min="3" max="3" width="44.44140625" style="3" customWidth="1"/>
    <col min="4" max="4" width="4.88671875" style="3" bestFit="1" customWidth="1"/>
    <col min="5" max="5" width="4" style="3" bestFit="1" customWidth="1"/>
    <col min="6" max="6" width="12.5546875" style="3" bestFit="1" customWidth="1"/>
    <col min="7" max="7" width="11.33203125" style="3" bestFit="1" customWidth="1"/>
    <col min="8" max="8" width="12.5546875" style="3" bestFit="1" customWidth="1"/>
    <col min="9" max="9" width="8.109375" style="3" bestFit="1" customWidth="1"/>
    <col min="10" max="10" width="5.5546875" style="12" bestFit="1" customWidth="1"/>
    <col min="11" max="11" width="5.44140625" style="3" bestFit="1" customWidth="1"/>
    <col min="12" max="12" width="13.5546875" style="22" bestFit="1" customWidth="1"/>
    <col min="13" max="13" width="10.44140625" style="22" bestFit="1" customWidth="1"/>
    <col min="14" max="16384" width="9.109375" style="3"/>
  </cols>
  <sheetData>
    <row r="1" spans="1:14" s="22" customFormat="1" ht="27.6" x14ac:dyDescent="0.3">
      <c r="A1" s="27" t="s">
        <v>0</v>
      </c>
      <c r="B1" s="2" t="s">
        <v>397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86</v>
      </c>
      <c r="K1" s="34" t="s">
        <v>377</v>
      </c>
      <c r="L1" s="22" t="s">
        <v>395</v>
      </c>
      <c r="M1" s="22" t="s">
        <v>396</v>
      </c>
      <c r="N1" s="22" t="s">
        <v>297</v>
      </c>
    </row>
    <row r="2" spans="1:14" s="22" customFormat="1" ht="96.6" x14ac:dyDescent="0.3">
      <c r="A2" s="6" t="s">
        <v>420</v>
      </c>
      <c r="B2" s="35" t="s">
        <v>416</v>
      </c>
      <c r="C2" s="35" t="s">
        <v>422</v>
      </c>
      <c r="D2" s="6" t="s">
        <v>89</v>
      </c>
      <c r="E2" s="6">
        <v>5</v>
      </c>
      <c r="F2" s="28">
        <f>I2*88*1.3</f>
        <v>5720</v>
      </c>
      <c r="G2" s="28">
        <f t="shared" ref="G2" si="0">F2*18%</f>
        <v>1029.5999999999999</v>
      </c>
      <c r="H2" s="29">
        <f t="shared" ref="H2" si="1">E2*(F2+G2)</f>
        <v>33748</v>
      </c>
      <c r="I2" s="9">
        <v>50</v>
      </c>
      <c r="J2" s="10">
        <v>92</v>
      </c>
      <c r="K2" s="10"/>
    </row>
    <row r="3" spans="1:14" s="22" customFormat="1" ht="96.6" x14ac:dyDescent="0.3">
      <c r="A3" s="6" t="s">
        <v>421</v>
      </c>
      <c r="B3" s="35" t="s">
        <v>416</v>
      </c>
      <c r="C3" s="35" t="s">
        <v>423</v>
      </c>
      <c r="D3" s="6" t="s">
        <v>89</v>
      </c>
      <c r="E3" s="6">
        <v>5</v>
      </c>
      <c r="F3" s="28">
        <f>I3*88*1.3</f>
        <v>5720</v>
      </c>
      <c r="G3" s="28">
        <f t="shared" ref="G3" si="2">F3*18%</f>
        <v>1029.5999999999999</v>
      </c>
      <c r="H3" s="29">
        <f t="shared" ref="H3" si="3">E3*(F3+G3)</f>
        <v>33748</v>
      </c>
      <c r="I3" s="9">
        <v>50</v>
      </c>
      <c r="J3" s="10">
        <v>92</v>
      </c>
      <c r="K3" s="10"/>
    </row>
    <row r="4" spans="1:14" s="22" customFormat="1" x14ac:dyDescent="0.3">
      <c r="A4" s="107"/>
      <c r="B4" s="108"/>
      <c r="C4" s="108"/>
      <c r="D4" s="108"/>
      <c r="E4" s="108"/>
      <c r="F4" s="108"/>
      <c r="G4" s="108"/>
      <c r="H4" s="109"/>
      <c r="I4" s="3"/>
      <c r="J4" s="12"/>
      <c r="K4" s="3"/>
    </row>
    <row r="5" spans="1:14" s="22" customFormat="1" ht="151.80000000000001" x14ac:dyDescent="0.3">
      <c r="A5" s="13" t="s">
        <v>9</v>
      </c>
      <c r="B5" s="84" t="s">
        <v>404</v>
      </c>
      <c r="C5" s="85"/>
      <c r="D5" s="85"/>
      <c r="E5" s="85"/>
      <c r="F5" s="85"/>
      <c r="G5" s="85"/>
      <c r="H5" s="86"/>
      <c r="I5" s="25"/>
      <c r="J5" s="25"/>
      <c r="K5" s="5"/>
      <c r="L5" s="24"/>
    </row>
    <row r="6" spans="1:14" s="22" customFormat="1" x14ac:dyDescent="0.3">
      <c r="A6" s="3"/>
      <c r="B6" s="3"/>
      <c r="C6" s="3"/>
      <c r="D6" s="3"/>
      <c r="E6" s="3"/>
      <c r="F6" s="3"/>
      <c r="G6" s="3"/>
      <c r="H6" s="3"/>
      <c r="I6" s="3"/>
      <c r="J6" s="12"/>
      <c r="K6" s="5"/>
    </row>
  </sheetData>
  <mergeCells count="2">
    <mergeCell ref="A4:H4"/>
    <mergeCell ref="B5:H5"/>
  </mergeCells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N5"/>
  <sheetViews>
    <sheetView workbookViewId="0">
      <selection activeCell="C2" sqref="C2"/>
    </sheetView>
  </sheetViews>
  <sheetFormatPr defaultColWidth="9.109375" defaultRowHeight="13.8" x14ac:dyDescent="0.3"/>
  <cols>
    <col min="1" max="1" width="5.5546875" style="3" bestFit="1" customWidth="1"/>
    <col min="2" max="2" width="17.88671875" style="3" bestFit="1" customWidth="1"/>
    <col min="3" max="3" width="44.44140625" style="3" customWidth="1"/>
    <col min="4" max="4" width="4.88671875" style="3" bestFit="1" customWidth="1"/>
    <col min="5" max="5" width="4" style="3" bestFit="1" customWidth="1"/>
    <col min="6" max="6" width="12.5546875" style="3" bestFit="1" customWidth="1"/>
    <col min="7" max="7" width="11.33203125" style="3" bestFit="1" customWidth="1"/>
    <col min="8" max="8" width="12.5546875" style="3" bestFit="1" customWidth="1"/>
    <col min="9" max="9" width="8.109375" style="3" bestFit="1" customWidth="1"/>
    <col min="10" max="10" width="5.5546875" style="12" bestFit="1" customWidth="1"/>
    <col min="11" max="11" width="5.44140625" style="3" bestFit="1" customWidth="1"/>
    <col min="12" max="12" width="13.5546875" style="22" bestFit="1" customWidth="1"/>
    <col min="13" max="13" width="10.44140625" style="22" bestFit="1" customWidth="1"/>
    <col min="14" max="16384" width="9.109375" style="3"/>
  </cols>
  <sheetData>
    <row r="1" spans="1:14" s="22" customFormat="1" ht="27.6" x14ac:dyDescent="0.3">
      <c r="A1" s="27" t="s">
        <v>0</v>
      </c>
      <c r="B1" s="2" t="s">
        <v>397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60</v>
      </c>
      <c r="K1" s="34" t="s">
        <v>418</v>
      </c>
      <c r="L1" s="22" t="s">
        <v>395</v>
      </c>
      <c r="M1" s="22" t="s">
        <v>396</v>
      </c>
      <c r="N1" s="22" t="s">
        <v>297</v>
      </c>
    </row>
    <row r="2" spans="1:14" s="22" customFormat="1" ht="193.2" x14ac:dyDescent="0.3">
      <c r="A2" s="6">
        <v>1</v>
      </c>
      <c r="B2" s="35" t="s">
        <v>417</v>
      </c>
      <c r="C2" s="35" t="s">
        <v>419</v>
      </c>
      <c r="D2" s="6" t="s">
        <v>62</v>
      </c>
      <c r="E2" s="6">
        <v>1</v>
      </c>
      <c r="F2" s="28">
        <f>I2*88*1.3</f>
        <v>5948800</v>
      </c>
      <c r="G2" s="28">
        <f t="shared" ref="G2" si="0">F2*18%</f>
        <v>1070784</v>
      </c>
      <c r="H2" s="29">
        <f t="shared" ref="H2" si="1">E2*(F2+G2)</f>
        <v>7019584</v>
      </c>
      <c r="I2" s="9">
        <v>52000</v>
      </c>
      <c r="J2" s="10">
        <v>49600</v>
      </c>
      <c r="K2" s="10">
        <v>55238</v>
      </c>
    </row>
    <row r="3" spans="1:14" s="22" customFormat="1" x14ac:dyDescent="0.3">
      <c r="A3" s="107"/>
      <c r="B3" s="108"/>
      <c r="C3" s="108"/>
      <c r="D3" s="108"/>
      <c r="E3" s="108"/>
      <c r="F3" s="108"/>
      <c r="G3" s="108"/>
      <c r="H3" s="109"/>
      <c r="I3" s="3"/>
      <c r="J3" s="12"/>
      <c r="K3" s="3"/>
    </row>
    <row r="4" spans="1:14" s="22" customFormat="1" ht="151.80000000000001" x14ac:dyDescent="0.3">
      <c r="A4" s="13" t="s">
        <v>9</v>
      </c>
      <c r="B4" s="84" t="s">
        <v>409</v>
      </c>
      <c r="C4" s="85"/>
      <c r="D4" s="85"/>
      <c r="E4" s="85"/>
      <c r="F4" s="85"/>
      <c r="G4" s="85"/>
      <c r="H4" s="86"/>
      <c r="I4" s="25"/>
      <c r="J4" s="25"/>
      <c r="K4" s="5"/>
      <c r="L4" s="24"/>
    </row>
    <row r="5" spans="1:14" s="22" customFormat="1" x14ac:dyDescent="0.3">
      <c r="A5" s="3"/>
      <c r="B5" s="3"/>
      <c r="C5" s="3"/>
      <c r="D5" s="3"/>
      <c r="E5" s="3"/>
      <c r="F5" s="3"/>
      <c r="G5" s="3"/>
      <c r="H5" s="3"/>
      <c r="I5" s="3"/>
      <c r="J5" s="12"/>
      <c r="K5" s="5"/>
    </row>
  </sheetData>
  <mergeCells count="2">
    <mergeCell ref="A3:H3"/>
    <mergeCell ref="B4:H4"/>
  </mergeCells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N6"/>
  <sheetViews>
    <sheetView workbookViewId="0">
      <selection activeCell="A4" sqref="A4:H4"/>
    </sheetView>
  </sheetViews>
  <sheetFormatPr defaultColWidth="9.109375" defaultRowHeight="13.8" x14ac:dyDescent="0.3"/>
  <cols>
    <col min="1" max="1" width="5.5546875" style="3" bestFit="1" customWidth="1"/>
    <col min="2" max="2" width="17.88671875" style="3" bestFit="1" customWidth="1"/>
    <col min="3" max="3" width="19.109375" style="3" bestFit="1" customWidth="1"/>
    <col min="4" max="4" width="4.88671875" style="3" bestFit="1" customWidth="1"/>
    <col min="5" max="5" width="4" style="3" bestFit="1" customWidth="1"/>
    <col min="6" max="6" width="12.5546875" style="3" bestFit="1" customWidth="1"/>
    <col min="7" max="7" width="11.33203125" style="3" bestFit="1" customWidth="1"/>
    <col min="8" max="8" width="12.5546875" style="3" bestFit="1" customWidth="1"/>
    <col min="9" max="9" width="8.109375" style="3" bestFit="1" customWidth="1"/>
    <col min="10" max="10" width="5.5546875" style="12" bestFit="1" customWidth="1"/>
    <col min="11" max="11" width="5.44140625" style="3" bestFit="1" customWidth="1"/>
    <col min="12" max="12" width="13.5546875" style="22" bestFit="1" customWidth="1"/>
    <col min="13" max="13" width="10.44140625" style="22" bestFit="1" customWidth="1"/>
    <col min="14" max="16384" width="9.109375" style="3"/>
  </cols>
  <sheetData>
    <row r="1" spans="1:14" s="22" customFormat="1" ht="27.6" x14ac:dyDescent="0.3">
      <c r="A1" s="27" t="s">
        <v>0</v>
      </c>
      <c r="B1" s="2" t="s">
        <v>397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60</v>
      </c>
      <c r="K1" s="34" t="s">
        <v>427</v>
      </c>
      <c r="L1" s="22" t="s">
        <v>395</v>
      </c>
      <c r="M1" s="22" t="s">
        <v>396</v>
      </c>
      <c r="N1" s="22" t="s">
        <v>297</v>
      </c>
    </row>
    <row r="2" spans="1:14" s="22" customFormat="1" ht="55.2" x14ac:dyDescent="0.3">
      <c r="A2" s="6">
        <v>1</v>
      </c>
      <c r="B2" s="35" t="s">
        <v>424</v>
      </c>
      <c r="C2" s="35" t="s">
        <v>425</v>
      </c>
      <c r="D2" s="6" t="s">
        <v>89</v>
      </c>
      <c r="E2" s="6">
        <v>8</v>
      </c>
      <c r="F2" s="28">
        <f>I2*88*1.3</f>
        <v>8008</v>
      </c>
      <c r="G2" s="28">
        <f t="shared" ref="G2:G3" si="0">F2*18%</f>
        <v>1441.44</v>
      </c>
      <c r="H2" s="29">
        <f t="shared" ref="H2:H3" si="1">E2*(F2+G2)</f>
        <v>75595.520000000004</v>
      </c>
      <c r="I2" s="9">
        <v>70</v>
      </c>
      <c r="J2" s="10">
        <v>98</v>
      </c>
      <c r="K2" s="10">
        <v>56.79</v>
      </c>
      <c r="L2" s="22">
        <f>K2*1.1</f>
        <v>62.469000000000001</v>
      </c>
    </row>
    <row r="3" spans="1:14" s="22" customFormat="1" ht="55.2" x14ac:dyDescent="0.3">
      <c r="A3" s="6">
        <v>2</v>
      </c>
      <c r="B3" s="35" t="s">
        <v>424</v>
      </c>
      <c r="C3" s="35" t="s">
        <v>426</v>
      </c>
      <c r="D3" s="6" t="s">
        <v>89</v>
      </c>
      <c r="E3" s="6">
        <v>8</v>
      </c>
      <c r="F3" s="28">
        <f>I3*88*1.3</f>
        <v>3432</v>
      </c>
      <c r="G3" s="28">
        <f t="shared" si="0"/>
        <v>617.76</v>
      </c>
      <c r="H3" s="29">
        <f t="shared" si="1"/>
        <v>32398.080000000002</v>
      </c>
      <c r="I3" s="9">
        <v>30</v>
      </c>
      <c r="J3" s="10">
        <v>71</v>
      </c>
      <c r="K3" s="10">
        <v>23.39</v>
      </c>
      <c r="L3" s="22">
        <f>K3*1.1</f>
        <v>25.729000000000003</v>
      </c>
    </row>
    <row r="4" spans="1:14" s="22" customFormat="1" x14ac:dyDescent="0.3">
      <c r="A4" s="107"/>
      <c r="B4" s="108"/>
      <c r="C4" s="108"/>
      <c r="D4" s="108"/>
      <c r="E4" s="108"/>
      <c r="F4" s="108"/>
      <c r="G4" s="108"/>
      <c r="H4" s="109"/>
      <c r="I4" s="3"/>
      <c r="J4" s="12"/>
      <c r="K4" s="3"/>
    </row>
    <row r="5" spans="1:14" s="22" customFormat="1" ht="151.80000000000001" x14ac:dyDescent="0.3">
      <c r="A5" s="13" t="s">
        <v>9</v>
      </c>
      <c r="B5" s="84" t="s">
        <v>404</v>
      </c>
      <c r="C5" s="85"/>
      <c r="D5" s="85"/>
      <c r="E5" s="85"/>
      <c r="F5" s="85"/>
      <c r="G5" s="85"/>
      <c r="H5" s="86"/>
      <c r="I5" s="25"/>
      <c r="J5" s="25"/>
      <c r="K5" s="5"/>
      <c r="L5" s="24"/>
    </row>
    <row r="6" spans="1:14" s="22" customFormat="1" x14ac:dyDescent="0.3">
      <c r="A6" s="3"/>
      <c r="B6" s="3"/>
      <c r="C6" s="3"/>
      <c r="D6" s="3"/>
      <c r="E6" s="3"/>
      <c r="F6" s="3"/>
      <c r="G6" s="3"/>
      <c r="H6" s="3"/>
      <c r="I6" s="3"/>
      <c r="J6" s="12"/>
      <c r="K6" s="5"/>
    </row>
  </sheetData>
  <mergeCells count="2">
    <mergeCell ref="A4:H4"/>
    <mergeCell ref="B5:H5"/>
  </mergeCells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M4"/>
  <sheetViews>
    <sheetView workbookViewId="0">
      <selection activeCell="A3" sqref="A3:I3"/>
    </sheetView>
  </sheetViews>
  <sheetFormatPr defaultColWidth="9.109375" defaultRowHeight="13.8" x14ac:dyDescent="0.3"/>
  <cols>
    <col min="1" max="1" width="5.88671875" style="3" bestFit="1" customWidth="1"/>
    <col min="2" max="2" width="5.6640625" style="3" bestFit="1" customWidth="1"/>
    <col min="3" max="3" width="8.5546875" style="3" bestFit="1" customWidth="1"/>
    <col min="4" max="4" width="52.33203125" style="3" customWidth="1"/>
    <col min="5" max="5" width="5" style="3" bestFit="1" customWidth="1"/>
    <col min="6" max="6" width="4" style="3" bestFit="1" customWidth="1"/>
    <col min="7" max="8" width="13.33203125" style="3" bestFit="1" customWidth="1"/>
    <col min="9" max="9" width="16.5546875" style="3" bestFit="1" customWidth="1"/>
    <col min="10" max="10" width="9.109375" style="3"/>
    <col min="11" max="11" width="14" style="12" bestFit="1" customWidth="1"/>
    <col min="12" max="12" width="19.5546875" style="3" customWidth="1"/>
    <col min="13" max="13" width="11.33203125" style="3" bestFit="1" customWidth="1"/>
    <col min="14" max="14" width="10.44140625" style="3" bestFit="1" customWidth="1"/>
    <col min="15" max="16384" width="9.109375" style="3"/>
  </cols>
  <sheetData>
    <row r="1" spans="1:13" ht="27.6" x14ac:dyDescent="0.3">
      <c r="A1" s="1" t="s">
        <v>0</v>
      </c>
      <c r="B1" s="2" t="s">
        <v>48</v>
      </c>
      <c r="C1" s="2" t="s">
        <v>49</v>
      </c>
      <c r="D1" s="2" t="s">
        <v>1</v>
      </c>
      <c r="E1" s="2" t="s">
        <v>2</v>
      </c>
      <c r="F1" s="2" t="s">
        <v>55</v>
      </c>
      <c r="G1" s="1" t="s">
        <v>3</v>
      </c>
      <c r="H1" s="1" t="s">
        <v>56</v>
      </c>
      <c r="I1" s="1" t="s">
        <v>4</v>
      </c>
      <c r="J1" s="3" t="s">
        <v>5</v>
      </c>
      <c r="K1" s="3" t="s">
        <v>47</v>
      </c>
      <c r="L1" s="3" t="s">
        <v>111</v>
      </c>
      <c r="M1" s="3" t="s">
        <v>45</v>
      </c>
    </row>
    <row r="2" spans="1:13" ht="55.2" x14ac:dyDescent="0.3">
      <c r="A2" s="4">
        <v>1</v>
      </c>
      <c r="B2" s="4" t="s">
        <v>50</v>
      </c>
      <c r="C2" s="4" t="s">
        <v>50</v>
      </c>
      <c r="D2" s="5" t="s">
        <v>428</v>
      </c>
      <c r="E2" s="6" t="s">
        <v>62</v>
      </c>
      <c r="F2" s="4">
        <v>1</v>
      </c>
      <c r="G2" s="7">
        <f>J2*90*1.33</f>
        <v>927675</v>
      </c>
      <c r="H2" s="7">
        <f t="shared" ref="H2" si="0">G2*18%</f>
        <v>166981.5</v>
      </c>
      <c r="I2" s="8">
        <f t="shared" ref="I2" si="1">F2*(G2+H2)</f>
        <v>1094656.5</v>
      </c>
      <c r="J2" s="9">
        <v>7750</v>
      </c>
      <c r="K2" s="10">
        <v>7190</v>
      </c>
      <c r="L2" s="10"/>
    </row>
    <row r="3" spans="1:13" x14ac:dyDescent="0.3">
      <c r="A3" s="105"/>
      <c r="B3" s="105"/>
      <c r="C3" s="105"/>
      <c r="D3" s="105"/>
      <c r="E3" s="105"/>
      <c r="F3" s="105"/>
      <c r="G3" s="105"/>
      <c r="H3" s="105"/>
      <c r="I3" s="105"/>
    </row>
    <row r="4" spans="1:13" ht="143.1" customHeight="1" x14ac:dyDescent="0.3">
      <c r="A4" s="23" t="s">
        <v>9</v>
      </c>
      <c r="B4" s="106" t="s">
        <v>101</v>
      </c>
      <c r="C4" s="106"/>
      <c r="D4" s="106"/>
      <c r="E4" s="106"/>
      <c r="F4" s="106"/>
      <c r="G4" s="106"/>
      <c r="H4" s="106"/>
      <c r="I4" s="106"/>
      <c r="J4" s="12"/>
      <c r="K4" s="3"/>
    </row>
  </sheetData>
  <mergeCells count="2">
    <mergeCell ref="A3:I3"/>
    <mergeCell ref="B4:I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6"/>
  <sheetViews>
    <sheetView workbookViewId="0">
      <selection activeCell="C2" sqref="C2:E3"/>
    </sheetView>
  </sheetViews>
  <sheetFormatPr defaultColWidth="9.109375" defaultRowHeight="13.8" x14ac:dyDescent="0.3"/>
  <cols>
    <col min="1" max="1" width="5.5546875" style="3" bestFit="1" customWidth="1"/>
    <col min="2" max="2" width="17.88671875" style="3" bestFit="1" customWidth="1"/>
    <col min="3" max="3" width="34.109375" style="3" customWidth="1"/>
    <col min="4" max="4" width="4.88671875" style="3" bestFit="1" customWidth="1"/>
    <col min="5" max="5" width="4" style="3" bestFit="1" customWidth="1"/>
    <col min="6" max="6" width="12.5546875" style="3" bestFit="1" customWidth="1"/>
    <col min="7" max="7" width="11.33203125" style="3" bestFit="1" customWidth="1"/>
    <col min="8" max="8" width="12.5546875" style="3" bestFit="1" customWidth="1"/>
    <col min="9" max="9" width="8.109375" style="3" bestFit="1" customWidth="1"/>
    <col min="10" max="10" width="11.44140625" style="12" bestFit="1" customWidth="1"/>
    <col min="11" max="11" width="5.44140625" style="3" bestFit="1" customWidth="1"/>
    <col min="12" max="12" width="13.5546875" style="22" bestFit="1" customWidth="1"/>
    <col min="13" max="13" width="10.44140625" style="22" bestFit="1" customWidth="1"/>
    <col min="14" max="16384" width="9.109375" style="3"/>
  </cols>
  <sheetData>
    <row r="1" spans="1:14" s="22" customFormat="1" ht="27.6" x14ac:dyDescent="0.3">
      <c r="A1" s="27" t="s">
        <v>0</v>
      </c>
      <c r="B1" s="2" t="s">
        <v>49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60</v>
      </c>
      <c r="K1" s="34" t="s">
        <v>427</v>
      </c>
      <c r="L1" s="22" t="s">
        <v>395</v>
      </c>
      <c r="M1" s="22" t="s">
        <v>396</v>
      </c>
      <c r="N1" s="22" t="s">
        <v>297</v>
      </c>
    </row>
    <row r="2" spans="1:14" s="22" customFormat="1" ht="41.4" x14ac:dyDescent="0.3">
      <c r="A2" s="6">
        <v>1</v>
      </c>
      <c r="B2" s="56" t="s">
        <v>429</v>
      </c>
      <c r="C2" s="16" t="s">
        <v>431</v>
      </c>
      <c r="D2" s="6" t="s">
        <v>89</v>
      </c>
      <c r="E2" s="6">
        <v>2</v>
      </c>
      <c r="F2" s="28">
        <f>I2*88*1.3</f>
        <v>77792</v>
      </c>
      <c r="G2" s="28">
        <f t="shared" ref="G2:G3" si="0">F2*18%</f>
        <v>14002.56</v>
      </c>
      <c r="H2" s="29">
        <f t="shared" ref="H2:H3" si="1">E2*(F2+G2)</f>
        <v>183589.12</v>
      </c>
      <c r="I2" s="9">
        <v>680</v>
      </c>
      <c r="J2" s="10" t="s">
        <v>433</v>
      </c>
      <c r="K2" s="10"/>
    </row>
    <row r="3" spans="1:14" s="22" customFormat="1" ht="41.4" x14ac:dyDescent="0.3">
      <c r="A3" s="6">
        <v>2</v>
      </c>
      <c r="B3" s="56" t="s">
        <v>430</v>
      </c>
      <c r="C3" s="16" t="s">
        <v>432</v>
      </c>
      <c r="D3" s="6" t="s">
        <v>89</v>
      </c>
      <c r="E3" s="6">
        <v>2</v>
      </c>
      <c r="F3" s="28">
        <f>I3*88*1.3</f>
        <v>77792</v>
      </c>
      <c r="G3" s="28">
        <f t="shared" si="0"/>
        <v>14002.56</v>
      </c>
      <c r="H3" s="29">
        <f t="shared" si="1"/>
        <v>183589.12</v>
      </c>
      <c r="I3" s="9">
        <v>680</v>
      </c>
      <c r="J3" s="10" t="s">
        <v>433</v>
      </c>
      <c r="K3" s="10"/>
    </row>
    <row r="4" spans="1:14" s="22" customFormat="1" x14ac:dyDescent="0.3">
      <c r="A4" s="81"/>
      <c r="B4" s="82"/>
      <c r="C4" s="82"/>
      <c r="D4" s="82"/>
      <c r="E4" s="82"/>
      <c r="F4" s="82"/>
      <c r="G4" s="82"/>
      <c r="H4" s="83"/>
      <c r="I4" s="3"/>
      <c r="J4" s="12"/>
      <c r="K4" s="3"/>
    </row>
    <row r="5" spans="1:14" s="22" customFormat="1" ht="151.80000000000001" x14ac:dyDescent="0.3">
      <c r="A5" s="13" t="s">
        <v>9</v>
      </c>
      <c r="B5" s="84" t="s">
        <v>404</v>
      </c>
      <c r="C5" s="85"/>
      <c r="D5" s="85"/>
      <c r="E5" s="85"/>
      <c r="F5" s="85"/>
      <c r="G5" s="85"/>
      <c r="H5" s="86"/>
      <c r="I5" s="25"/>
      <c r="J5" s="25"/>
      <c r="K5" s="5"/>
      <c r="L5" s="24"/>
    </row>
    <row r="6" spans="1:14" s="22" customFormat="1" x14ac:dyDescent="0.3">
      <c r="A6" s="3"/>
      <c r="B6" s="3"/>
      <c r="C6" s="3"/>
      <c r="D6" s="3"/>
      <c r="E6" s="3"/>
      <c r="F6" s="3"/>
      <c r="G6" s="3"/>
      <c r="H6" s="3"/>
      <c r="I6" s="3"/>
      <c r="J6" s="12"/>
      <c r="K6" s="5"/>
    </row>
  </sheetData>
  <mergeCells count="2">
    <mergeCell ref="A4:H4"/>
    <mergeCell ref="B5:H5"/>
  </mergeCells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N8"/>
  <sheetViews>
    <sheetView workbookViewId="0">
      <selection activeCell="C2" sqref="C2"/>
    </sheetView>
  </sheetViews>
  <sheetFormatPr defaultColWidth="9.109375" defaultRowHeight="13.8" x14ac:dyDescent="0.3"/>
  <cols>
    <col min="1" max="1" width="5.5546875" style="3" bestFit="1" customWidth="1"/>
    <col min="2" max="2" width="11.6640625" style="3" bestFit="1" customWidth="1"/>
    <col min="3" max="3" width="60" style="3" customWidth="1"/>
    <col min="4" max="4" width="4.88671875" style="3" bestFit="1" customWidth="1"/>
    <col min="5" max="5" width="4" style="3" bestFit="1" customWidth="1"/>
    <col min="6" max="6" width="12.5546875" style="3" bestFit="1" customWidth="1"/>
    <col min="7" max="7" width="11.33203125" style="3" bestFit="1" customWidth="1"/>
    <col min="8" max="8" width="12.5546875" style="3" bestFit="1" customWidth="1"/>
    <col min="9" max="9" width="8.109375" style="3" bestFit="1" customWidth="1"/>
    <col min="10" max="10" width="5.5546875" style="12" bestFit="1" customWidth="1"/>
    <col min="11" max="11" width="5.44140625" style="3" bestFit="1" customWidth="1"/>
    <col min="12" max="12" width="13.5546875" style="22" bestFit="1" customWidth="1"/>
    <col min="13" max="13" width="10.44140625" style="22" bestFit="1" customWidth="1"/>
    <col min="14" max="16384" width="9.109375" style="3"/>
  </cols>
  <sheetData>
    <row r="1" spans="1:14" s="22" customFormat="1" ht="27.6" x14ac:dyDescent="0.3">
      <c r="A1" s="27" t="s">
        <v>0</v>
      </c>
      <c r="B1" s="2" t="s">
        <v>49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47</v>
      </c>
      <c r="K1" s="34" t="s">
        <v>427</v>
      </c>
      <c r="L1" s="22" t="s">
        <v>83</v>
      </c>
      <c r="M1" s="22" t="s">
        <v>396</v>
      </c>
      <c r="N1" s="22" t="s">
        <v>297</v>
      </c>
    </row>
    <row r="2" spans="1:14" s="22" customFormat="1" ht="55.2" x14ac:dyDescent="0.3">
      <c r="A2" s="6">
        <v>1</v>
      </c>
      <c r="B2" s="57" t="s">
        <v>434</v>
      </c>
      <c r="C2" s="35" t="s">
        <v>438</v>
      </c>
      <c r="D2" s="6" t="s">
        <v>62</v>
      </c>
      <c r="E2" s="6">
        <v>4</v>
      </c>
      <c r="F2" s="28">
        <f>I2*85*1.28</f>
        <v>16320</v>
      </c>
      <c r="G2" s="28">
        <f t="shared" ref="G2:G5" si="0">F2*18%</f>
        <v>2937.6</v>
      </c>
      <c r="H2" s="29">
        <f t="shared" ref="H2:H5" si="1">E2*(F2+G2)</f>
        <v>77030.399999999994</v>
      </c>
      <c r="I2" s="9">
        <v>150</v>
      </c>
      <c r="J2" s="10"/>
      <c r="K2" s="10"/>
      <c r="L2" s="22">
        <f>177*1.1*84</f>
        <v>16354.800000000001</v>
      </c>
    </row>
    <row r="3" spans="1:14" s="22" customFormat="1" ht="69" x14ac:dyDescent="0.3">
      <c r="A3" s="6">
        <v>2</v>
      </c>
      <c r="B3" s="57" t="s">
        <v>435</v>
      </c>
      <c r="C3" s="35" t="s">
        <v>439</v>
      </c>
      <c r="D3" s="6" t="s">
        <v>62</v>
      </c>
      <c r="E3" s="6">
        <v>4</v>
      </c>
      <c r="F3" s="28">
        <f t="shared" ref="F3:F5" si="2">I3*85*1.28</f>
        <v>16320</v>
      </c>
      <c r="G3" s="28">
        <f t="shared" ref="G3:G4" si="3">F3*18%</f>
        <v>2937.6</v>
      </c>
      <c r="H3" s="29">
        <f t="shared" ref="H3:H4" si="4">E3*(F3+G3)</f>
        <v>77030.399999999994</v>
      </c>
      <c r="I3" s="9">
        <v>150</v>
      </c>
      <c r="J3" s="10"/>
      <c r="K3" s="10"/>
    </row>
    <row r="4" spans="1:14" s="22" customFormat="1" ht="55.2" x14ac:dyDescent="0.3">
      <c r="A4" s="6">
        <v>3</v>
      </c>
      <c r="B4" s="57" t="s">
        <v>436</v>
      </c>
      <c r="C4" s="35" t="s">
        <v>440</v>
      </c>
      <c r="D4" s="6" t="s">
        <v>62</v>
      </c>
      <c r="E4" s="6">
        <v>8</v>
      </c>
      <c r="F4" s="28">
        <f t="shared" si="2"/>
        <v>16320</v>
      </c>
      <c r="G4" s="28">
        <f t="shared" si="3"/>
        <v>2937.6</v>
      </c>
      <c r="H4" s="29">
        <f t="shared" si="4"/>
        <v>154060.79999999999</v>
      </c>
      <c r="I4" s="9">
        <v>150</v>
      </c>
      <c r="J4" s="10"/>
      <c r="K4" s="10"/>
    </row>
    <row r="5" spans="1:14" s="22" customFormat="1" ht="69" x14ac:dyDescent="0.3">
      <c r="A5" s="6">
        <v>4</v>
      </c>
      <c r="B5" s="57" t="s">
        <v>437</v>
      </c>
      <c r="C5" s="35" t="s">
        <v>441</v>
      </c>
      <c r="D5" s="6" t="s">
        <v>62</v>
      </c>
      <c r="E5" s="6">
        <v>8</v>
      </c>
      <c r="F5" s="28">
        <f t="shared" si="2"/>
        <v>16320</v>
      </c>
      <c r="G5" s="28">
        <f t="shared" si="0"/>
        <v>2937.6</v>
      </c>
      <c r="H5" s="29">
        <f t="shared" si="1"/>
        <v>154060.79999999999</v>
      </c>
      <c r="I5" s="9">
        <v>150</v>
      </c>
      <c r="J5" s="10"/>
      <c r="K5" s="10"/>
    </row>
    <row r="6" spans="1:14" s="22" customFormat="1" x14ac:dyDescent="0.3">
      <c r="A6" s="107"/>
      <c r="B6" s="108"/>
      <c r="C6" s="108"/>
      <c r="D6" s="108"/>
      <c r="E6" s="108"/>
      <c r="F6" s="108"/>
      <c r="G6" s="108"/>
      <c r="H6" s="109"/>
      <c r="I6" s="3"/>
      <c r="J6" s="12"/>
      <c r="K6" s="3"/>
    </row>
    <row r="7" spans="1:14" s="22" customFormat="1" ht="151.80000000000001" x14ac:dyDescent="0.3">
      <c r="A7" s="13" t="s">
        <v>9</v>
      </c>
      <c r="B7" s="84" t="s">
        <v>404</v>
      </c>
      <c r="C7" s="85"/>
      <c r="D7" s="85"/>
      <c r="E7" s="85"/>
      <c r="F7" s="85"/>
      <c r="G7" s="85"/>
      <c r="H7" s="86"/>
      <c r="I7" s="25"/>
      <c r="J7" s="25"/>
      <c r="K7" s="5"/>
      <c r="L7" s="24"/>
    </row>
    <row r="8" spans="1:14" s="22" customFormat="1" x14ac:dyDescent="0.3">
      <c r="A8" s="3"/>
      <c r="B8" s="3"/>
      <c r="C8" s="3"/>
      <c r="D8" s="3"/>
      <c r="E8" s="3"/>
      <c r="F8" s="3"/>
      <c r="G8" s="3"/>
      <c r="H8" s="3"/>
      <c r="I8" s="3"/>
      <c r="J8" s="12"/>
      <c r="K8" s="5"/>
    </row>
  </sheetData>
  <mergeCells count="2">
    <mergeCell ref="A6:H6"/>
    <mergeCell ref="B7:H7"/>
  </mergeCells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N6"/>
  <sheetViews>
    <sheetView workbookViewId="0">
      <selection sqref="A1:H5"/>
    </sheetView>
  </sheetViews>
  <sheetFormatPr defaultColWidth="9.109375" defaultRowHeight="13.8" x14ac:dyDescent="0.3"/>
  <cols>
    <col min="1" max="1" width="5.5546875" style="3" bestFit="1" customWidth="1"/>
    <col min="2" max="2" width="17.88671875" style="3" bestFit="1" customWidth="1"/>
    <col min="3" max="3" width="44.44140625" style="3" customWidth="1"/>
    <col min="4" max="4" width="4.88671875" style="3" bestFit="1" customWidth="1"/>
    <col min="5" max="5" width="4" style="3" bestFit="1" customWidth="1"/>
    <col min="6" max="6" width="12.5546875" style="3" bestFit="1" customWidth="1"/>
    <col min="7" max="7" width="11.33203125" style="3" bestFit="1" customWidth="1"/>
    <col min="8" max="8" width="12.5546875" style="3" bestFit="1" customWidth="1"/>
    <col min="9" max="9" width="8.109375" style="3" bestFit="1" customWidth="1"/>
    <col min="10" max="10" width="11.44140625" style="12" bestFit="1" customWidth="1"/>
    <col min="11" max="11" width="5.44140625" style="3" bestFit="1" customWidth="1"/>
    <col min="12" max="12" width="13.5546875" style="22" bestFit="1" customWidth="1"/>
    <col min="13" max="13" width="10.44140625" style="22" bestFit="1" customWidth="1"/>
    <col min="14" max="16384" width="9.109375" style="3"/>
  </cols>
  <sheetData>
    <row r="1" spans="1:14" s="22" customFormat="1" ht="27.6" x14ac:dyDescent="0.3">
      <c r="A1" s="27" t="s">
        <v>0</v>
      </c>
      <c r="B1" s="2" t="s">
        <v>49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60</v>
      </c>
      <c r="K1" s="58" t="s">
        <v>427</v>
      </c>
      <c r="L1" s="22" t="s">
        <v>395</v>
      </c>
      <c r="M1" s="22" t="s">
        <v>396</v>
      </c>
      <c r="N1" s="22" t="s">
        <v>297</v>
      </c>
    </row>
    <row r="2" spans="1:14" s="22" customFormat="1" ht="55.2" x14ac:dyDescent="0.3">
      <c r="A2" s="6">
        <v>1</v>
      </c>
      <c r="B2" s="59" t="s">
        <v>443</v>
      </c>
      <c r="C2" s="16" t="s">
        <v>445</v>
      </c>
      <c r="D2" s="6" t="s">
        <v>89</v>
      </c>
      <c r="E2" s="6">
        <v>110</v>
      </c>
      <c r="F2" s="28">
        <v>2060</v>
      </c>
      <c r="G2" s="28">
        <f t="shared" ref="G2:G3" si="0">F2*18%</f>
        <v>370.8</v>
      </c>
      <c r="H2" s="29">
        <f t="shared" ref="H2:H3" si="1">E2*(F2+G2)</f>
        <v>267388</v>
      </c>
      <c r="I2" s="9"/>
      <c r="J2" s="10"/>
      <c r="K2" s="10"/>
    </row>
    <row r="3" spans="1:14" s="22" customFormat="1" x14ac:dyDescent="0.3">
      <c r="A3" s="6">
        <v>2</v>
      </c>
      <c r="B3" s="59" t="s">
        <v>442</v>
      </c>
      <c r="C3" s="16" t="s">
        <v>444</v>
      </c>
      <c r="D3" s="6" t="s">
        <v>89</v>
      </c>
      <c r="E3" s="6">
        <v>3</v>
      </c>
      <c r="F3" s="28">
        <v>65340</v>
      </c>
      <c r="G3" s="28">
        <f t="shared" si="0"/>
        <v>11761.199999999999</v>
      </c>
      <c r="H3" s="29">
        <f t="shared" si="1"/>
        <v>231303.59999999998</v>
      </c>
      <c r="I3" s="9"/>
      <c r="J3" s="10"/>
      <c r="K3" s="10"/>
    </row>
    <row r="4" spans="1:14" s="22" customFormat="1" x14ac:dyDescent="0.3">
      <c r="A4" s="81"/>
      <c r="B4" s="82"/>
      <c r="C4" s="82"/>
      <c r="D4" s="82"/>
      <c r="E4" s="82"/>
      <c r="F4" s="82"/>
      <c r="G4" s="82"/>
      <c r="H4" s="83"/>
      <c r="I4" s="3"/>
      <c r="J4" s="12"/>
      <c r="K4" s="3"/>
    </row>
    <row r="5" spans="1:14" s="22" customFormat="1" ht="151.80000000000001" x14ac:dyDescent="0.3">
      <c r="A5" s="13" t="s">
        <v>9</v>
      </c>
      <c r="B5" s="84" t="s">
        <v>404</v>
      </c>
      <c r="C5" s="85"/>
      <c r="D5" s="85"/>
      <c r="E5" s="85"/>
      <c r="F5" s="85"/>
      <c r="G5" s="85"/>
      <c r="H5" s="86"/>
      <c r="I5" s="25"/>
      <c r="J5" s="25"/>
      <c r="K5" s="5"/>
      <c r="L5" s="24"/>
    </row>
    <row r="6" spans="1:14" s="22" customFormat="1" x14ac:dyDescent="0.3">
      <c r="A6" s="3"/>
      <c r="B6" s="3"/>
      <c r="C6" s="3"/>
      <c r="D6" s="3"/>
      <c r="E6" s="3"/>
      <c r="F6" s="3"/>
      <c r="G6" s="3"/>
      <c r="H6" s="3"/>
      <c r="I6" s="3"/>
      <c r="J6" s="12"/>
      <c r="K6" s="5"/>
    </row>
  </sheetData>
  <mergeCells count="2">
    <mergeCell ref="A4:H4"/>
    <mergeCell ref="B5:H5"/>
  </mergeCells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N5"/>
  <sheetViews>
    <sheetView workbookViewId="0">
      <selection activeCell="C9" sqref="C9"/>
    </sheetView>
  </sheetViews>
  <sheetFormatPr defaultColWidth="9.109375" defaultRowHeight="13.8" x14ac:dyDescent="0.3"/>
  <cols>
    <col min="1" max="1" width="5.5546875" style="3" bestFit="1" customWidth="1"/>
    <col min="2" max="2" width="17.88671875" style="3" bestFit="1" customWidth="1"/>
    <col min="3" max="3" width="44.44140625" style="3" customWidth="1"/>
    <col min="4" max="4" width="4.88671875" style="3" bestFit="1" customWidth="1"/>
    <col min="5" max="5" width="4" style="3" bestFit="1" customWidth="1"/>
    <col min="6" max="6" width="12.5546875" style="3" bestFit="1" customWidth="1"/>
    <col min="7" max="7" width="11.33203125" style="3" bestFit="1" customWidth="1"/>
    <col min="8" max="8" width="12.5546875" style="3" bestFit="1" customWidth="1"/>
    <col min="9" max="9" width="8.109375" style="3" bestFit="1" customWidth="1"/>
    <col min="10" max="10" width="11.44140625" style="12" bestFit="1" customWidth="1"/>
    <col min="11" max="11" width="5.44140625" style="3" bestFit="1" customWidth="1"/>
    <col min="12" max="12" width="13.5546875" style="22" bestFit="1" customWidth="1"/>
    <col min="13" max="13" width="10.44140625" style="22" bestFit="1" customWidth="1"/>
    <col min="14" max="16384" width="9.109375" style="3"/>
  </cols>
  <sheetData>
    <row r="1" spans="1:14" s="22" customFormat="1" ht="27.6" x14ac:dyDescent="0.3">
      <c r="A1" s="27" t="s">
        <v>0</v>
      </c>
      <c r="B1" s="2" t="s">
        <v>49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60</v>
      </c>
      <c r="K1" s="58" t="s">
        <v>427</v>
      </c>
      <c r="L1" s="22" t="s">
        <v>395</v>
      </c>
      <c r="M1" s="22" t="s">
        <v>396</v>
      </c>
      <c r="N1" s="22" t="s">
        <v>297</v>
      </c>
    </row>
    <row r="2" spans="1:14" s="22" customFormat="1" ht="27.6" x14ac:dyDescent="0.3">
      <c r="A2" s="6">
        <v>1</v>
      </c>
      <c r="B2" s="59" t="s">
        <v>87</v>
      </c>
      <c r="C2" s="16" t="s">
        <v>446</v>
      </c>
      <c r="D2" s="6" t="s">
        <v>89</v>
      </c>
      <c r="E2" s="6">
        <v>5</v>
      </c>
      <c r="F2" s="28">
        <v>13560</v>
      </c>
      <c r="G2" s="28">
        <f t="shared" ref="G2" si="0">F2*18%</f>
        <v>2440.7999999999997</v>
      </c>
      <c r="H2" s="29">
        <f t="shared" ref="H2" si="1">E2*(F2+G2)</f>
        <v>80004</v>
      </c>
      <c r="I2" s="9"/>
      <c r="J2" s="10"/>
      <c r="K2" s="10"/>
    </row>
    <row r="3" spans="1:14" s="22" customFormat="1" x14ac:dyDescent="0.3">
      <c r="A3" s="81"/>
      <c r="B3" s="82"/>
      <c r="C3" s="82"/>
      <c r="D3" s="82"/>
      <c r="E3" s="82"/>
      <c r="F3" s="82"/>
      <c r="G3" s="82"/>
      <c r="H3" s="83"/>
      <c r="I3" s="3"/>
      <c r="J3" s="12"/>
      <c r="K3" s="3"/>
    </row>
    <row r="4" spans="1:14" s="22" customFormat="1" ht="151.80000000000001" x14ac:dyDescent="0.3">
      <c r="A4" s="13" t="s">
        <v>9</v>
      </c>
      <c r="B4" s="84" t="s">
        <v>404</v>
      </c>
      <c r="C4" s="85"/>
      <c r="D4" s="85"/>
      <c r="E4" s="85"/>
      <c r="F4" s="85"/>
      <c r="G4" s="85"/>
      <c r="H4" s="86"/>
      <c r="I4" s="25"/>
      <c r="J4" s="25"/>
      <c r="K4" s="5"/>
      <c r="L4" s="24"/>
    </row>
    <row r="5" spans="1:14" s="22" customFormat="1" x14ac:dyDescent="0.3">
      <c r="A5" s="3"/>
      <c r="B5" s="3"/>
      <c r="C5" s="3"/>
      <c r="D5" s="3"/>
      <c r="E5" s="3"/>
      <c r="F5" s="3"/>
      <c r="G5" s="3"/>
      <c r="H5" s="3"/>
      <c r="I5" s="3"/>
      <c r="J5" s="12"/>
      <c r="K5" s="5"/>
    </row>
  </sheetData>
  <mergeCells count="2">
    <mergeCell ref="A3:H3"/>
    <mergeCell ref="B4:H4"/>
  </mergeCells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N9"/>
  <sheetViews>
    <sheetView workbookViewId="0">
      <selection sqref="A1:H8"/>
    </sheetView>
  </sheetViews>
  <sheetFormatPr defaultColWidth="9.109375" defaultRowHeight="13.8" x14ac:dyDescent="0.3"/>
  <cols>
    <col min="1" max="1" width="5.5546875" style="3" bestFit="1" customWidth="1"/>
    <col min="2" max="2" width="17.88671875" style="3" bestFit="1" customWidth="1"/>
    <col min="3" max="3" width="44.44140625" style="3" customWidth="1"/>
    <col min="4" max="4" width="4.88671875" style="3" bestFit="1" customWidth="1"/>
    <col min="5" max="5" width="4" style="3" bestFit="1" customWidth="1"/>
    <col min="6" max="6" width="12.5546875" style="3" bestFit="1" customWidth="1"/>
    <col min="7" max="7" width="11.33203125" style="3" bestFit="1" customWidth="1"/>
    <col min="8" max="8" width="12.5546875" style="3" bestFit="1" customWidth="1"/>
    <col min="9" max="9" width="8.109375" style="3" bestFit="1" customWidth="1"/>
    <col min="10" max="10" width="11.44140625" style="12" bestFit="1" customWidth="1"/>
    <col min="11" max="11" width="6.6640625" style="3" bestFit="1" customWidth="1"/>
    <col min="12" max="12" width="13.5546875" style="22" bestFit="1" customWidth="1"/>
    <col min="13" max="13" width="10.44140625" style="22" bestFit="1" customWidth="1"/>
    <col min="14" max="16384" width="9.109375" style="3"/>
  </cols>
  <sheetData>
    <row r="1" spans="1:14" s="22" customFormat="1" ht="27.6" x14ac:dyDescent="0.3">
      <c r="A1" s="27" t="s">
        <v>0</v>
      </c>
      <c r="B1" s="2" t="s">
        <v>451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60</v>
      </c>
      <c r="K1" s="58" t="s">
        <v>427</v>
      </c>
      <c r="L1" s="22" t="s">
        <v>395</v>
      </c>
      <c r="M1" s="22" t="s">
        <v>396</v>
      </c>
      <c r="N1" s="22" t="s">
        <v>297</v>
      </c>
    </row>
    <row r="2" spans="1:14" s="22" customFormat="1" x14ac:dyDescent="0.3">
      <c r="A2" s="6">
        <v>1</v>
      </c>
      <c r="B2" s="114" t="s">
        <v>452</v>
      </c>
      <c r="C2" s="16" t="s">
        <v>450</v>
      </c>
      <c r="D2" s="6" t="s">
        <v>89</v>
      </c>
      <c r="E2" s="6">
        <v>1</v>
      </c>
      <c r="F2" s="28">
        <v>30000</v>
      </c>
      <c r="G2" s="28">
        <f t="shared" ref="G2:G4" si="0">F2*18%</f>
        <v>5400</v>
      </c>
      <c r="H2" s="29">
        <f t="shared" ref="H2:H4" si="1">E2*(F2+G2)</f>
        <v>35400</v>
      </c>
      <c r="I2" s="9">
        <f>K2*1.1</f>
        <v>2560.8000000000002</v>
      </c>
      <c r="J2" s="10"/>
      <c r="K2" s="10">
        <v>2328</v>
      </c>
    </row>
    <row r="3" spans="1:14" s="22" customFormat="1" ht="41.4" x14ac:dyDescent="0.3">
      <c r="A3" s="6">
        <v>2</v>
      </c>
      <c r="B3" s="115"/>
      <c r="C3" s="16" t="s">
        <v>447</v>
      </c>
      <c r="D3" s="6" t="s">
        <v>89</v>
      </c>
      <c r="E3" s="6">
        <v>1</v>
      </c>
      <c r="F3" s="28">
        <f>I3*90*1.35</f>
        <v>14466.276000000002</v>
      </c>
      <c r="G3" s="28">
        <f t="shared" si="0"/>
        <v>2603.9296800000002</v>
      </c>
      <c r="H3" s="29">
        <f t="shared" si="1"/>
        <v>17070.205680000003</v>
      </c>
      <c r="I3" s="9">
        <f t="shared" ref="I3:I4" si="2">K3*1.1</f>
        <v>119.06400000000001</v>
      </c>
      <c r="J3" s="10"/>
      <c r="K3" s="10">
        <v>108.24</v>
      </c>
    </row>
    <row r="4" spans="1:14" s="22" customFormat="1" ht="41.4" x14ac:dyDescent="0.3">
      <c r="A4" s="6">
        <v>3</v>
      </c>
      <c r="B4" s="116"/>
      <c r="C4" s="16" t="s">
        <v>448</v>
      </c>
      <c r="D4" s="6" t="s">
        <v>89</v>
      </c>
      <c r="E4" s="6">
        <v>1</v>
      </c>
      <c r="F4" s="28">
        <f>I4*90*1.35</f>
        <v>156401.23950000003</v>
      </c>
      <c r="G4" s="28">
        <f t="shared" si="0"/>
        <v>28152.223110000003</v>
      </c>
      <c r="H4" s="29">
        <f t="shared" si="1"/>
        <v>184553.46261000002</v>
      </c>
      <c r="I4" s="9">
        <f t="shared" si="2"/>
        <v>1287.2530000000002</v>
      </c>
      <c r="J4" s="10"/>
      <c r="K4" s="10">
        <v>1170.23</v>
      </c>
    </row>
    <row r="5" spans="1:14" s="22" customFormat="1" x14ac:dyDescent="0.3">
      <c r="A5" s="6">
        <v>4</v>
      </c>
      <c r="B5" s="114" t="s">
        <v>453</v>
      </c>
      <c r="C5" s="16" t="s">
        <v>450</v>
      </c>
      <c r="D5" s="6" t="s">
        <v>89</v>
      </c>
      <c r="E5" s="6">
        <v>1</v>
      </c>
      <c r="F5" s="28">
        <v>30000</v>
      </c>
      <c r="G5" s="28">
        <f t="shared" ref="G5:G6" si="3">F5*18%</f>
        <v>5400</v>
      </c>
      <c r="H5" s="29">
        <f t="shared" ref="H5:H6" si="4">E5*(F5+G5)</f>
        <v>35400</v>
      </c>
      <c r="I5" s="9"/>
      <c r="J5" s="10"/>
      <c r="K5" s="10"/>
    </row>
    <row r="6" spans="1:14" s="22" customFormat="1" x14ac:dyDescent="0.3">
      <c r="A6" s="6">
        <v>5</v>
      </c>
      <c r="B6" s="115"/>
      <c r="C6" s="16" t="s">
        <v>454</v>
      </c>
      <c r="D6" s="6" t="s">
        <v>89</v>
      </c>
      <c r="E6" s="6">
        <v>1</v>
      </c>
      <c r="F6" s="28">
        <v>48000</v>
      </c>
      <c r="G6" s="28">
        <f t="shared" si="3"/>
        <v>8640</v>
      </c>
      <c r="H6" s="29">
        <f t="shared" si="4"/>
        <v>56640</v>
      </c>
      <c r="I6" s="9"/>
      <c r="J6" s="10"/>
      <c r="K6" s="10"/>
    </row>
    <row r="7" spans="1:14" s="22" customFormat="1" x14ac:dyDescent="0.3">
      <c r="A7" s="81"/>
      <c r="B7" s="82"/>
      <c r="C7" s="82"/>
      <c r="D7" s="82"/>
      <c r="E7" s="82"/>
      <c r="F7" s="82"/>
      <c r="G7" s="82"/>
      <c r="H7" s="83"/>
      <c r="I7" s="3"/>
      <c r="J7" s="12"/>
      <c r="K7" s="3"/>
    </row>
    <row r="8" spans="1:14" s="22" customFormat="1" ht="151.80000000000001" x14ac:dyDescent="0.3">
      <c r="A8" s="13" t="s">
        <v>9</v>
      </c>
      <c r="B8" s="84" t="s">
        <v>404</v>
      </c>
      <c r="C8" s="85"/>
      <c r="D8" s="85"/>
      <c r="E8" s="85"/>
      <c r="F8" s="85"/>
      <c r="G8" s="85"/>
      <c r="H8" s="86"/>
      <c r="I8" s="25"/>
      <c r="J8" s="25"/>
      <c r="K8" s="5"/>
      <c r="L8" s="24"/>
    </row>
    <row r="9" spans="1:14" s="22" customFormat="1" x14ac:dyDescent="0.3">
      <c r="A9" s="3"/>
      <c r="B9" s="3"/>
      <c r="C9" s="3"/>
      <c r="D9" s="3"/>
      <c r="E9" s="3"/>
      <c r="F9" s="3"/>
      <c r="G9" s="3"/>
      <c r="H9" s="3"/>
      <c r="I9" s="3"/>
      <c r="J9" s="12"/>
      <c r="K9" s="5"/>
    </row>
  </sheetData>
  <mergeCells count="4">
    <mergeCell ref="A7:H7"/>
    <mergeCell ref="B8:H8"/>
    <mergeCell ref="B5:B6"/>
    <mergeCell ref="B2:B4"/>
  </mergeCells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N6"/>
  <sheetViews>
    <sheetView workbookViewId="0">
      <selection sqref="A1:H3"/>
    </sheetView>
  </sheetViews>
  <sheetFormatPr defaultColWidth="9.109375" defaultRowHeight="13.8" x14ac:dyDescent="0.3"/>
  <cols>
    <col min="1" max="1" width="5.5546875" style="3" bestFit="1" customWidth="1"/>
    <col min="2" max="2" width="17.88671875" style="3" bestFit="1" customWidth="1"/>
    <col min="3" max="3" width="44.44140625" style="3" customWidth="1"/>
    <col min="4" max="4" width="4.88671875" style="3" bestFit="1" customWidth="1"/>
    <col min="5" max="5" width="4" style="3" bestFit="1" customWidth="1"/>
    <col min="6" max="6" width="12.5546875" style="3" bestFit="1" customWidth="1"/>
    <col min="7" max="7" width="11.33203125" style="3" bestFit="1" customWidth="1"/>
    <col min="8" max="8" width="12.5546875" style="3" bestFit="1" customWidth="1"/>
    <col min="9" max="9" width="8.109375" style="3" bestFit="1" customWidth="1"/>
    <col min="10" max="10" width="11.44140625" style="12" bestFit="1" customWidth="1"/>
    <col min="11" max="11" width="5.44140625" style="3" bestFit="1" customWidth="1"/>
    <col min="12" max="12" width="13.5546875" style="22" bestFit="1" customWidth="1"/>
    <col min="13" max="13" width="10.44140625" style="22" bestFit="1" customWidth="1"/>
    <col min="14" max="16384" width="9.109375" style="3"/>
  </cols>
  <sheetData>
    <row r="1" spans="1:14" s="22" customFormat="1" ht="27.6" x14ac:dyDescent="0.3">
      <c r="A1" s="27" t="s">
        <v>0</v>
      </c>
      <c r="B1" s="2" t="s">
        <v>49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60</v>
      </c>
      <c r="K1" s="58" t="s">
        <v>427</v>
      </c>
      <c r="L1" s="22" t="s">
        <v>60</v>
      </c>
      <c r="M1" s="22" t="s">
        <v>396</v>
      </c>
      <c r="N1" s="22" t="s">
        <v>297</v>
      </c>
    </row>
    <row r="2" spans="1:14" s="22" customFormat="1" x14ac:dyDescent="0.3">
      <c r="A2" s="6">
        <v>1</v>
      </c>
      <c r="B2" s="59" t="s">
        <v>469</v>
      </c>
      <c r="C2" s="16" t="s">
        <v>455</v>
      </c>
      <c r="D2" s="6" t="s">
        <v>89</v>
      </c>
      <c r="E2" s="6">
        <v>1</v>
      </c>
      <c r="F2" s="28">
        <f>I2*88*1.3</f>
        <v>563992</v>
      </c>
      <c r="G2" s="28">
        <f t="shared" ref="G2:G3" si="0">F2*18%</f>
        <v>101518.56</v>
      </c>
      <c r="H2" s="29">
        <f t="shared" ref="H2:H3" si="1">E2*(F2+G2)</f>
        <v>665510.56000000006</v>
      </c>
      <c r="I2" s="9">
        <v>4930</v>
      </c>
      <c r="J2" s="10">
        <v>4930</v>
      </c>
      <c r="K2" s="10"/>
      <c r="L2" s="22">
        <v>1300</v>
      </c>
    </row>
    <row r="3" spans="1:14" s="22" customFormat="1" x14ac:dyDescent="0.3">
      <c r="A3" s="6">
        <v>2</v>
      </c>
      <c r="B3" s="59" t="s">
        <v>470</v>
      </c>
      <c r="C3" s="16" t="s">
        <v>456</v>
      </c>
      <c r="D3" s="6" t="s">
        <v>89</v>
      </c>
      <c r="E3" s="6">
        <v>1</v>
      </c>
      <c r="F3" s="28">
        <f>I3*88*1.3</f>
        <v>160160</v>
      </c>
      <c r="G3" s="28">
        <f t="shared" si="0"/>
        <v>28828.799999999999</v>
      </c>
      <c r="H3" s="29">
        <f t="shared" si="1"/>
        <v>188988.79999999999</v>
      </c>
      <c r="I3" s="9">
        <v>1400</v>
      </c>
      <c r="J3" s="10">
        <v>2490</v>
      </c>
      <c r="K3" s="10"/>
      <c r="L3" s="22">
        <v>845</v>
      </c>
    </row>
    <row r="4" spans="1:14" s="22" customFormat="1" x14ac:dyDescent="0.3">
      <c r="A4" s="81"/>
      <c r="B4" s="82"/>
      <c r="C4" s="82"/>
      <c r="D4" s="82"/>
      <c r="E4" s="82"/>
      <c r="F4" s="82"/>
      <c r="G4" s="82"/>
      <c r="H4" s="83"/>
      <c r="I4" s="3"/>
      <c r="J4" s="12"/>
      <c r="K4" s="3"/>
    </row>
    <row r="5" spans="1:14" s="22" customFormat="1" ht="151.80000000000001" x14ac:dyDescent="0.3">
      <c r="A5" s="13" t="s">
        <v>9</v>
      </c>
      <c r="B5" s="84" t="s">
        <v>404</v>
      </c>
      <c r="C5" s="85"/>
      <c r="D5" s="85"/>
      <c r="E5" s="85"/>
      <c r="F5" s="85"/>
      <c r="G5" s="85"/>
      <c r="H5" s="86"/>
      <c r="I5" s="25"/>
      <c r="J5" s="25"/>
      <c r="K5" s="5"/>
      <c r="L5" s="24"/>
    </row>
    <row r="6" spans="1:14" s="22" customFormat="1" x14ac:dyDescent="0.3">
      <c r="A6" s="3"/>
      <c r="B6" s="3"/>
      <c r="C6" s="3"/>
      <c r="D6" s="3"/>
      <c r="E6" s="3"/>
      <c r="F6" s="3"/>
      <c r="G6" s="3"/>
      <c r="H6" s="3"/>
      <c r="I6" s="3"/>
      <c r="J6" s="12"/>
      <c r="K6" s="5"/>
    </row>
  </sheetData>
  <mergeCells count="2">
    <mergeCell ref="A4:H4"/>
    <mergeCell ref="B5:H5"/>
  </mergeCells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N6"/>
  <sheetViews>
    <sheetView workbookViewId="0">
      <selection activeCell="C3" sqref="C3"/>
    </sheetView>
  </sheetViews>
  <sheetFormatPr defaultColWidth="9.109375" defaultRowHeight="13.8" x14ac:dyDescent="0.3"/>
  <cols>
    <col min="1" max="1" width="5.5546875" style="3" bestFit="1" customWidth="1"/>
    <col min="2" max="2" width="17.88671875" style="3" bestFit="1" customWidth="1"/>
    <col min="3" max="3" width="44.44140625" style="3" customWidth="1"/>
    <col min="4" max="4" width="4.88671875" style="3" bestFit="1" customWidth="1"/>
    <col min="5" max="5" width="4" style="3" bestFit="1" customWidth="1"/>
    <col min="6" max="6" width="12.5546875" style="3" bestFit="1" customWidth="1"/>
    <col min="7" max="7" width="11.33203125" style="3" bestFit="1" customWidth="1"/>
    <col min="8" max="8" width="12.5546875" style="3" bestFit="1" customWidth="1"/>
    <col min="9" max="9" width="8.109375" style="3" bestFit="1" customWidth="1"/>
    <col min="10" max="10" width="11.44140625" style="12" bestFit="1" customWidth="1"/>
    <col min="11" max="11" width="5.44140625" style="3" bestFit="1" customWidth="1"/>
    <col min="12" max="12" width="13.5546875" style="22" bestFit="1" customWidth="1"/>
    <col min="13" max="13" width="10.44140625" style="22" bestFit="1" customWidth="1"/>
    <col min="14" max="16384" width="9.109375" style="3"/>
  </cols>
  <sheetData>
    <row r="1" spans="1:14" s="22" customFormat="1" ht="27.6" x14ac:dyDescent="0.3">
      <c r="A1" s="27" t="s">
        <v>0</v>
      </c>
      <c r="B1" s="2" t="s">
        <v>49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86</v>
      </c>
      <c r="K1" s="58" t="s">
        <v>47</v>
      </c>
      <c r="L1" s="22" t="s">
        <v>395</v>
      </c>
      <c r="M1" s="22" t="s">
        <v>396</v>
      </c>
      <c r="N1" s="22" t="s">
        <v>297</v>
      </c>
    </row>
    <row r="2" spans="1:14" s="22" customFormat="1" ht="96.6" x14ac:dyDescent="0.3">
      <c r="A2" s="6">
        <v>1</v>
      </c>
      <c r="B2" s="59" t="s">
        <v>457</v>
      </c>
      <c r="C2" s="16" t="s">
        <v>460</v>
      </c>
      <c r="D2" s="6" t="s">
        <v>62</v>
      </c>
      <c r="E2" s="6">
        <v>1</v>
      </c>
      <c r="F2" s="28">
        <f>I2*90*1.32</f>
        <v>712800</v>
      </c>
      <c r="G2" s="28">
        <f t="shared" ref="G2:G3" si="0">F2*18%</f>
        <v>128304</v>
      </c>
      <c r="H2" s="29">
        <f t="shared" ref="H2:H3" si="1">E2*(F2+G2)</f>
        <v>841104</v>
      </c>
      <c r="I2" s="9">
        <v>6000</v>
      </c>
      <c r="J2" s="10">
        <v>4550</v>
      </c>
      <c r="K2" s="10">
        <v>6450</v>
      </c>
    </row>
    <row r="3" spans="1:14" s="22" customFormat="1" ht="138" x14ac:dyDescent="0.3">
      <c r="A3" s="6">
        <v>2</v>
      </c>
      <c r="B3" s="59" t="s">
        <v>458</v>
      </c>
      <c r="C3" s="16" t="s">
        <v>459</v>
      </c>
      <c r="D3" s="6" t="s">
        <v>62</v>
      </c>
      <c r="E3" s="6">
        <v>1</v>
      </c>
      <c r="F3" s="28">
        <f>I3*90*1.32</f>
        <v>1544400</v>
      </c>
      <c r="G3" s="28">
        <f t="shared" si="0"/>
        <v>277992</v>
      </c>
      <c r="H3" s="29">
        <f t="shared" si="1"/>
        <v>1822392</v>
      </c>
      <c r="I3" s="9">
        <v>13000</v>
      </c>
      <c r="J3" s="10">
        <v>14250</v>
      </c>
      <c r="K3" s="10">
        <v>12900</v>
      </c>
    </row>
    <row r="4" spans="1:14" s="22" customFormat="1" x14ac:dyDescent="0.3">
      <c r="A4" s="81"/>
      <c r="B4" s="82"/>
      <c r="C4" s="82"/>
      <c r="D4" s="82"/>
      <c r="E4" s="82"/>
      <c r="F4" s="82"/>
      <c r="G4" s="82"/>
      <c r="H4" s="83"/>
      <c r="I4" s="3"/>
      <c r="J4" s="12"/>
      <c r="K4" s="3"/>
    </row>
    <row r="5" spans="1:14" s="22" customFormat="1" ht="151.80000000000001" x14ac:dyDescent="0.3">
      <c r="A5" s="13" t="s">
        <v>9</v>
      </c>
      <c r="B5" s="84" t="s">
        <v>404</v>
      </c>
      <c r="C5" s="85"/>
      <c r="D5" s="85"/>
      <c r="E5" s="85"/>
      <c r="F5" s="85"/>
      <c r="G5" s="85"/>
      <c r="H5" s="86"/>
      <c r="I5" s="25"/>
      <c r="J5" s="25"/>
      <c r="K5" s="5"/>
      <c r="L5" s="24"/>
    </row>
    <row r="6" spans="1:14" s="22" customFormat="1" x14ac:dyDescent="0.3">
      <c r="A6" s="3"/>
      <c r="B6" s="3"/>
      <c r="C6" s="3"/>
      <c r="D6" s="3"/>
      <c r="E6" s="3"/>
      <c r="F6" s="3"/>
      <c r="G6" s="3"/>
      <c r="H6" s="3"/>
      <c r="I6" s="3"/>
      <c r="J6" s="12"/>
      <c r="K6" s="5"/>
    </row>
  </sheetData>
  <mergeCells count="2">
    <mergeCell ref="A4:H4"/>
    <mergeCell ref="B5:H5"/>
  </mergeCells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N8"/>
  <sheetViews>
    <sheetView workbookViewId="0">
      <selection activeCell="G4" sqref="G4"/>
    </sheetView>
  </sheetViews>
  <sheetFormatPr defaultColWidth="9.109375" defaultRowHeight="13.8" x14ac:dyDescent="0.3"/>
  <cols>
    <col min="1" max="1" width="5.5546875" style="3" bestFit="1" customWidth="1"/>
    <col min="2" max="2" width="17.88671875" style="3" bestFit="1" customWidth="1"/>
    <col min="3" max="3" width="44.44140625" style="3" customWidth="1"/>
    <col min="4" max="4" width="4.88671875" style="3" bestFit="1" customWidth="1"/>
    <col min="5" max="5" width="4" style="3" bestFit="1" customWidth="1"/>
    <col min="6" max="6" width="12.5546875" style="3" bestFit="1" customWidth="1"/>
    <col min="7" max="7" width="11.33203125" style="3" bestFit="1" customWidth="1"/>
    <col min="8" max="8" width="12.5546875" style="3" bestFit="1" customWidth="1"/>
    <col min="9" max="9" width="8.109375" style="3" bestFit="1" customWidth="1"/>
    <col min="10" max="10" width="11.44140625" style="12" bestFit="1" customWidth="1"/>
    <col min="11" max="11" width="5.44140625" style="3" bestFit="1" customWidth="1"/>
    <col min="12" max="12" width="13.5546875" style="22" bestFit="1" customWidth="1"/>
    <col min="13" max="13" width="10.44140625" style="22" bestFit="1" customWidth="1"/>
    <col min="14" max="16384" width="9.109375" style="3"/>
  </cols>
  <sheetData>
    <row r="1" spans="1:14" s="22" customFormat="1" ht="27.6" x14ac:dyDescent="0.3">
      <c r="A1" s="27" t="s">
        <v>0</v>
      </c>
      <c r="B1" s="2" t="s">
        <v>49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86</v>
      </c>
      <c r="K1" s="58" t="s">
        <v>47</v>
      </c>
      <c r="L1" s="22" t="s">
        <v>395</v>
      </c>
      <c r="M1" s="22" t="s">
        <v>396</v>
      </c>
      <c r="N1" s="22" t="s">
        <v>297</v>
      </c>
    </row>
    <row r="2" spans="1:14" s="22" customFormat="1" ht="41.4" x14ac:dyDescent="0.3">
      <c r="A2" s="6">
        <v>1</v>
      </c>
      <c r="B2" s="59" t="s">
        <v>461</v>
      </c>
      <c r="C2" s="16" t="s">
        <v>465</v>
      </c>
      <c r="D2" s="6" t="s">
        <v>62</v>
      </c>
      <c r="E2" s="6">
        <v>1</v>
      </c>
      <c r="F2" s="28">
        <f>I2*90*1.32</f>
        <v>772200</v>
      </c>
      <c r="G2" s="28">
        <f t="shared" ref="G2:G5" si="0">F2*18%</f>
        <v>138996</v>
      </c>
      <c r="H2" s="29">
        <f t="shared" ref="H2:H5" si="1">E2*(F2+G2)</f>
        <v>911196</v>
      </c>
      <c r="I2" s="9">
        <v>6500</v>
      </c>
      <c r="J2" s="10">
        <v>4300</v>
      </c>
      <c r="K2" s="10">
        <v>7090</v>
      </c>
    </row>
    <row r="3" spans="1:14" s="22" customFormat="1" ht="41.4" x14ac:dyDescent="0.3">
      <c r="A3" s="6">
        <v>2</v>
      </c>
      <c r="B3" s="59" t="s">
        <v>462</v>
      </c>
      <c r="C3" s="16" t="s">
        <v>466</v>
      </c>
      <c r="D3" s="6" t="s">
        <v>62</v>
      </c>
      <c r="E3" s="6">
        <v>1</v>
      </c>
      <c r="F3" s="28">
        <f t="shared" ref="F3:F4" si="2">I3*90*1.32</f>
        <v>772200</v>
      </c>
      <c r="G3" s="28">
        <f t="shared" ref="G3:G4" si="3">F3*18%</f>
        <v>138996</v>
      </c>
      <c r="H3" s="29">
        <f t="shared" ref="H3:H4" si="4">E3*(F3+G3)</f>
        <v>911196</v>
      </c>
      <c r="I3" s="9">
        <v>6500</v>
      </c>
      <c r="J3" s="10">
        <v>4300</v>
      </c>
      <c r="K3" s="10">
        <v>7090</v>
      </c>
    </row>
    <row r="4" spans="1:14" s="22" customFormat="1" ht="41.4" x14ac:dyDescent="0.3">
      <c r="A4" s="6">
        <v>3</v>
      </c>
      <c r="B4" s="59" t="s">
        <v>463</v>
      </c>
      <c r="C4" s="16" t="s">
        <v>467</v>
      </c>
      <c r="D4" s="6" t="s">
        <v>62</v>
      </c>
      <c r="E4" s="6">
        <v>1</v>
      </c>
      <c r="F4" s="28">
        <f t="shared" si="2"/>
        <v>772200</v>
      </c>
      <c r="G4" s="28">
        <f t="shared" si="3"/>
        <v>138996</v>
      </c>
      <c r="H4" s="29">
        <f t="shared" si="4"/>
        <v>911196</v>
      </c>
      <c r="I4" s="9">
        <v>6500</v>
      </c>
      <c r="J4" s="10">
        <v>4300</v>
      </c>
      <c r="K4" s="10">
        <v>7090</v>
      </c>
    </row>
    <row r="5" spans="1:14" s="22" customFormat="1" ht="41.4" x14ac:dyDescent="0.3">
      <c r="A5" s="6">
        <v>4</v>
      </c>
      <c r="B5" s="59" t="s">
        <v>464</v>
      </c>
      <c r="C5" s="16" t="s">
        <v>468</v>
      </c>
      <c r="D5" s="6" t="s">
        <v>62</v>
      </c>
      <c r="E5" s="6">
        <v>1</v>
      </c>
      <c r="F5" s="28">
        <f>I5*90*1.32</f>
        <v>772200</v>
      </c>
      <c r="G5" s="28">
        <f t="shared" si="0"/>
        <v>138996</v>
      </c>
      <c r="H5" s="29">
        <f t="shared" si="1"/>
        <v>911196</v>
      </c>
      <c r="I5" s="9">
        <v>6500</v>
      </c>
      <c r="J5" s="10">
        <v>4550</v>
      </c>
      <c r="K5" s="10">
        <v>7090</v>
      </c>
    </row>
    <row r="6" spans="1:14" s="22" customFormat="1" x14ac:dyDescent="0.3">
      <c r="A6" s="81"/>
      <c r="B6" s="82"/>
      <c r="C6" s="82"/>
      <c r="D6" s="82"/>
      <c r="E6" s="82"/>
      <c r="F6" s="82"/>
      <c r="G6" s="82"/>
      <c r="H6" s="83"/>
      <c r="I6" s="3"/>
      <c r="J6" s="12"/>
      <c r="K6" s="3"/>
    </row>
    <row r="7" spans="1:14" s="22" customFormat="1" ht="151.80000000000001" x14ac:dyDescent="0.3">
      <c r="A7" s="13" t="s">
        <v>9</v>
      </c>
      <c r="B7" s="84" t="s">
        <v>404</v>
      </c>
      <c r="C7" s="85"/>
      <c r="D7" s="85"/>
      <c r="E7" s="85"/>
      <c r="F7" s="85"/>
      <c r="G7" s="85"/>
      <c r="H7" s="86"/>
      <c r="I7" s="25"/>
      <c r="J7" s="25"/>
      <c r="K7" s="5"/>
      <c r="L7" s="24"/>
    </row>
    <row r="8" spans="1:14" s="22" customFormat="1" x14ac:dyDescent="0.3">
      <c r="A8" s="3"/>
      <c r="B8" s="3"/>
      <c r="C8" s="3"/>
      <c r="D8" s="3"/>
      <c r="E8" s="3"/>
      <c r="F8" s="3"/>
      <c r="G8" s="3"/>
      <c r="H8" s="3"/>
      <c r="I8" s="3"/>
      <c r="J8" s="12"/>
      <c r="K8" s="5"/>
    </row>
  </sheetData>
  <mergeCells count="2">
    <mergeCell ref="A6:H6"/>
    <mergeCell ref="B7:H7"/>
  </mergeCells>
  <pageMargins left="0.7" right="0.7" top="0.75" bottom="0.75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N8"/>
  <sheetViews>
    <sheetView workbookViewId="0">
      <selection activeCell="D2" sqref="D2"/>
    </sheetView>
  </sheetViews>
  <sheetFormatPr defaultColWidth="9.109375" defaultRowHeight="13.8" x14ac:dyDescent="0.3"/>
  <cols>
    <col min="1" max="1" width="5.5546875" style="3" bestFit="1" customWidth="1"/>
    <col min="2" max="2" width="17.88671875" style="3" bestFit="1" customWidth="1"/>
    <col min="3" max="3" width="44.44140625" style="3" customWidth="1"/>
    <col min="4" max="4" width="4.88671875" style="3" bestFit="1" customWidth="1"/>
    <col min="5" max="5" width="4" style="3" bestFit="1" customWidth="1"/>
    <col min="6" max="6" width="12.5546875" style="3" bestFit="1" customWidth="1"/>
    <col min="7" max="7" width="11.33203125" style="3" bestFit="1" customWidth="1"/>
    <col min="8" max="8" width="12.5546875" style="3" bestFit="1" customWidth="1"/>
    <col min="9" max="9" width="8.109375" style="3" bestFit="1" customWidth="1"/>
    <col min="10" max="10" width="11.44140625" style="12" bestFit="1" customWidth="1"/>
    <col min="11" max="11" width="5.44140625" style="3" bestFit="1" customWidth="1"/>
    <col min="12" max="12" width="13.5546875" style="22" bestFit="1" customWidth="1"/>
    <col min="13" max="13" width="10.44140625" style="22" bestFit="1" customWidth="1"/>
    <col min="14" max="16384" width="9.109375" style="3"/>
  </cols>
  <sheetData>
    <row r="1" spans="1:14" s="22" customFormat="1" ht="27.6" x14ac:dyDescent="0.3">
      <c r="A1" s="27" t="s">
        <v>0</v>
      </c>
      <c r="B1" s="2" t="s">
        <v>49</v>
      </c>
      <c r="C1" s="2" t="s">
        <v>1</v>
      </c>
      <c r="D1" s="2" t="s">
        <v>2</v>
      </c>
      <c r="E1" s="2" t="s">
        <v>55</v>
      </c>
      <c r="F1" s="27" t="s">
        <v>3</v>
      </c>
      <c r="G1" s="27" t="s">
        <v>56</v>
      </c>
      <c r="H1" s="27" t="s">
        <v>4</v>
      </c>
      <c r="I1" s="3" t="s">
        <v>5</v>
      </c>
      <c r="J1" s="3" t="s">
        <v>86</v>
      </c>
      <c r="K1" s="58" t="s">
        <v>47</v>
      </c>
      <c r="L1" s="22" t="s">
        <v>395</v>
      </c>
      <c r="M1" s="22" t="s">
        <v>396</v>
      </c>
      <c r="N1" s="22" t="s">
        <v>297</v>
      </c>
    </row>
    <row r="2" spans="1:14" s="22" customFormat="1" ht="27.6" x14ac:dyDescent="0.3">
      <c r="A2" s="6">
        <v>1</v>
      </c>
      <c r="B2" s="59" t="s">
        <v>473</v>
      </c>
      <c r="C2" s="16" t="s">
        <v>471</v>
      </c>
      <c r="D2" s="6" t="s">
        <v>89</v>
      </c>
      <c r="E2" s="6">
        <v>6</v>
      </c>
      <c r="F2" s="28">
        <v>9600</v>
      </c>
      <c r="G2" s="28">
        <f t="shared" ref="G2:G5" si="0">F2*18%</f>
        <v>1728</v>
      </c>
      <c r="H2" s="29">
        <f t="shared" ref="H2:H5" si="1">E2*(F2+G2)</f>
        <v>67968</v>
      </c>
      <c r="I2" s="9"/>
      <c r="J2" s="10"/>
      <c r="K2" s="10"/>
    </row>
    <row r="3" spans="1:14" s="22" customFormat="1" ht="27.6" x14ac:dyDescent="0.3">
      <c r="A3" s="6">
        <v>2</v>
      </c>
      <c r="B3" s="59" t="s">
        <v>474</v>
      </c>
      <c r="C3" s="16" t="s">
        <v>472</v>
      </c>
      <c r="D3" s="6" t="s">
        <v>89</v>
      </c>
      <c r="E3" s="6">
        <v>4</v>
      </c>
      <c r="F3" s="28">
        <v>11500</v>
      </c>
      <c r="G3" s="28">
        <f t="shared" si="0"/>
        <v>2070</v>
      </c>
      <c r="H3" s="29">
        <f t="shared" si="1"/>
        <v>54280</v>
      </c>
      <c r="I3" s="9"/>
      <c r="J3" s="10"/>
      <c r="K3" s="10"/>
    </row>
    <row r="4" spans="1:14" s="22" customFormat="1" x14ac:dyDescent="0.3">
      <c r="A4" s="6">
        <v>3</v>
      </c>
      <c r="B4" s="59" t="s">
        <v>475</v>
      </c>
      <c r="C4" s="16" t="s">
        <v>391</v>
      </c>
      <c r="D4" s="6" t="s">
        <v>89</v>
      </c>
      <c r="E4" s="6">
        <v>4</v>
      </c>
      <c r="F4" s="28">
        <v>30900</v>
      </c>
      <c r="G4" s="28">
        <f t="shared" si="0"/>
        <v>5562</v>
      </c>
      <c r="H4" s="29">
        <f t="shared" si="1"/>
        <v>145848</v>
      </c>
      <c r="I4" s="9"/>
      <c r="J4" s="10"/>
      <c r="K4" s="10"/>
    </row>
    <row r="5" spans="1:14" s="22" customFormat="1" x14ac:dyDescent="0.3">
      <c r="A5" s="6">
        <v>4</v>
      </c>
      <c r="B5" s="59" t="s">
        <v>476</v>
      </c>
      <c r="C5" s="16" t="s">
        <v>392</v>
      </c>
      <c r="D5" s="6" t="s">
        <v>89</v>
      </c>
      <c r="E5" s="6">
        <v>4</v>
      </c>
      <c r="F5" s="28">
        <v>30900</v>
      </c>
      <c r="G5" s="28">
        <f t="shared" si="0"/>
        <v>5562</v>
      </c>
      <c r="H5" s="29">
        <f t="shared" si="1"/>
        <v>145848</v>
      </c>
      <c r="I5" s="9"/>
      <c r="J5" s="10"/>
      <c r="K5" s="10"/>
    </row>
    <row r="6" spans="1:14" s="22" customFormat="1" x14ac:dyDescent="0.3">
      <c r="A6" s="81"/>
      <c r="B6" s="82"/>
      <c r="C6" s="82"/>
      <c r="D6" s="82"/>
      <c r="E6" s="82"/>
      <c r="F6" s="82"/>
      <c r="G6" s="82"/>
      <c r="H6" s="83"/>
      <c r="I6" s="3"/>
      <c r="J6" s="12"/>
      <c r="K6" s="3"/>
    </row>
    <row r="7" spans="1:14" s="22" customFormat="1" ht="151.80000000000001" x14ac:dyDescent="0.3">
      <c r="A7" s="13" t="s">
        <v>9</v>
      </c>
      <c r="B7" s="84" t="s">
        <v>404</v>
      </c>
      <c r="C7" s="85"/>
      <c r="D7" s="85"/>
      <c r="E7" s="85"/>
      <c r="F7" s="85"/>
      <c r="G7" s="85"/>
      <c r="H7" s="86"/>
      <c r="I7" s="25"/>
      <c r="J7" s="25"/>
      <c r="K7" s="5"/>
      <c r="L7" s="24"/>
    </row>
    <row r="8" spans="1:14" s="22" customFormat="1" x14ac:dyDescent="0.3">
      <c r="A8" s="3"/>
      <c r="B8" s="3"/>
      <c r="C8" s="3"/>
      <c r="D8" s="3"/>
      <c r="E8" s="3"/>
      <c r="F8" s="3"/>
      <c r="G8" s="3"/>
      <c r="H8" s="3"/>
      <c r="I8" s="3"/>
      <c r="J8" s="12"/>
      <c r="K8" s="5"/>
    </row>
  </sheetData>
  <mergeCells count="2">
    <mergeCell ref="A6:H6"/>
    <mergeCell ref="B7:H7"/>
  </mergeCells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N9"/>
  <sheetViews>
    <sheetView tabSelected="1" zoomScale="94" zoomScaleNormal="94" zoomScaleSheetLayoutView="100" workbookViewId="0">
      <pane ySplit="1" topLeftCell="A2" activePane="bottomLeft" state="frozen"/>
      <selection activeCell="L7" sqref="L7"/>
      <selection pane="bottomLeft" activeCell="K4" sqref="K4"/>
    </sheetView>
  </sheetViews>
  <sheetFormatPr defaultColWidth="9.109375" defaultRowHeight="13.8" x14ac:dyDescent="0.3"/>
  <cols>
    <col min="1" max="1" width="5.88671875" style="63" bestFit="1" customWidth="1"/>
    <col min="2" max="2" width="11.6640625" style="63" bestFit="1" customWidth="1"/>
    <col min="3" max="3" width="16.5546875" style="63" customWidth="1"/>
    <col min="4" max="4" width="29.33203125" style="63" bestFit="1" customWidth="1"/>
    <col min="5" max="5" width="50.6640625" style="63" customWidth="1"/>
    <col min="6" max="6" width="5" style="63" bestFit="1" customWidth="1"/>
    <col min="7" max="7" width="6.33203125" style="63" bestFit="1" customWidth="1"/>
    <col min="8" max="8" width="12.33203125" style="63" bestFit="1" customWidth="1"/>
    <col min="9" max="9" width="17" style="63" customWidth="1"/>
    <col min="10" max="10" width="12" style="63" customWidth="1"/>
    <col min="11" max="11" width="9.88671875" style="63" customWidth="1"/>
    <col min="12" max="12" width="13.44140625" style="63" bestFit="1" customWidth="1"/>
    <col min="13" max="16384" width="9.109375" style="63"/>
  </cols>
  <sheetData>
    <row r="1" spans="1:14" ht="27.6" x14ac:dyDescent="0.3">
      <c r="A1" s="60" t="s">
        <v>0</v>
      </c>
      <c r="B1" s="60" t="s">
        <v>477</v>
      </c>
      <c r="C1" s="61" t="s">
        <v>49</v>
      </c>
      <c r="D1" s="61" t="s">
        <v>478</v>
      </c>
      <c r="E1" s="61" t="s">
        <v>1</v>
      </c>
      <c r="F1" s="61" t="s">
        <v>2</v>
      </c>
      <c r="G1" s="61" t="s">
        <v>84</v>
      </c>
      <c r="H1" s="60" t="s">
        <v>3</v>
      </c>
      <c r="I1" s="60" t="s">
        <v>4</v>
      </c>
      <c r="J1" s="62" t="s">
        <v>479</v>
      </c>
      <c r="K1" s="63" t="s">
        <v>488</v>
      </c>
      <c r="M1" s="63" t="s">
        <v>60</v>
      </c>
      <c r="N1" s="63" t="s">
        <v>488</v>
      </c>
    </row>
    <row r="2" spans="1:14" ht="41.4" x14ac:dyDescent="0.3">
      <c r="A2" s="64">
        <f>ROW()-1</f>
        <v>1</v>
      </c>
      <c r="B2" s="64">
        <v>1400000717</v>
      </c>
      <c r="C2" s="77">
        <v>100000055014</v>
      </c>
      <c r="D2" s="66" t="s">
        <v>482</v>
      </c>
      <c r="E2" s="66" t="s">
        <v>485</v>
      </c>
      <c r="F2" s="65" t="s">
        <v>484</v>
      </c>
      <c r="G2" s="65">
        <v>10</v>
      </c>
      <c r="H2" s="67">
        <f>90*1.3*J2</f>
        <v>0</v>
      </c>
      <c r="I2" s="67">
        <f>H2*G2</f>
        <v>0</v>
      </c>
      <c r="J2" s="68"/>
      <c r="K2" s="79">
        <v>22.3</v>
      </c>
      <c r="L2" s="70"/>
      <c r="M2" s="69">
        <v>107</v>
      </c>
      <c r="N2" s="80">
        <v>27</v>
      </c>
    </row>
    <row r="3" spans="1:14" ht="82.8" x14ac:dyDescent="0.3">
      <c r="A3" s="64">
        <f t="shared" ref="A3:A4" si="0">ROW()-1</f>
        <v>2</v>
      </c>
      <c r="B3" s="64">
        <v>1400000717</v>
      </c>
      <c r="C3" s="77">
        <v>100000051471</v>
      </c>
      <c r="D3" s="66" t="s">
        <v>482</v>
      </c>
      <c r="E3" s="66" t="s">
        <v>486</v>
      </c>
      <c r="F3" s="65" t="s">
        <v>484</v>
      </c>
      <c r="G3" s="65">
        <v>5</v>
      </c>
      <c r="H3" s="67">
        <f t="shared" ref="H3:H4" si="1">90*1.3*J3</f>
        <v>0</v>
      </c>
      <c r="I3" s="67">
        <f t="shared" ref="I3:I4" si="2">H3*G3</f>
        <v>0</v>
      </c>
      <c r="J3" s="68"/>
      <c r="K3" s="69"/>
      <c r="L3" s="70"/>
      <c r="M3" s="71"/>
      <c r="N3" s="80"/>
    </row>
    <row r="4" spans="1:14" ht="27.6" x14ac:dyDescent="0.3">
      <c r="A4" s="64">
        <f t="shared" si="0"/>
        <v>3</v>
      </c>
      <c r="B4" s="64">
        <v>1400000717</v>
      </c>
      <c r="C4" s="77">
        <v>100000059026</v>
      </c>
      <c r="D4" s="66" t="s">
        <v>483</v>
      </c>
      <c r="E4" s="66" t="s">
        <v>487</v>
      </c>
      <c r="F4" s="65" t="s">
        <v>484</v>
      </c>
      <c r="G4" s="65">
        <v>5</v>
      </c>
      <c r="H4" s="67">
        <f t="shared" si="1"/>
        <v>0</v>
      </c>
      <c r="I4" s="67">
        <f t="shared" si="2"/>
        <v>0</v>
      </c>
      <c r="J4" s="68"/>
      <c r="K4" s="69"/>
      <c r="L4" s="70"/>
      <c r="M4" s="69">
        <v>155</v>
      </c>
      <c r="N4" s="80">
        <v>78</v>
      </c>
    </row>
    <row r="5" spans="1:14" s="73" customFormat="1" x14ac:dyDescent="0.3">
      <c r="A5" s="64">
        <f t="shared" ref="A5:A7" si="3">ROW()-1</f>
        <v>4</v>
      </c>
      <c r="B5" s="117" t="s">
        <v>7</v>
      </c>
      <c r="C5" s="117"/>
      <c r="D5" s="117"/>
      <c r="E5" s="117"/>
      <c r="F5" s="117"/>
      <c r="G5" s="117"/>
      <c r="H5" s="117"/>
      <c r="I5" s="78">
        <f>SUM(I1:I2)</f>
        <v>0</v>
      </c>
      <c r="J5" s="72"/>
    </row>
    <row r="6" spans="1:14" s="73" customFormat="1" x14ac:dyDescent="0.3">
      <c r="A6" s="64">
        <f t="shared" si="3"/>
        <v>5</v>
      </c>
      <c r="B6" s="117" t="s">
        <v>481</v>
      </c>
      <c r="C6" s="117"/>
      <c r="D6" s="117"/>
      <c r="E6" s="117"/>
      <c r="F6" s="117"/>
      <c r="G6" s="117"/>
      <c r="H6" s="117"/>
      <c r="I6" s="78">
        <f>I5*18%</f>
        <v>0</v>
      </c>
      <c r="J6" s="72"/>
    </row>
    <row r="7" spans="1:14" s="73" customFormat="1" x14ac:dyDescent="0.3">
      <c r="A7" s="64">
        <f t="shared" si="3"/>
        <v>6</v>
      </c>
      <c r="B7" s="117" t="s">
        <v>8</v>
      </c>
      <c r="C7" s="117"/>
      <c r="D7" s="117"/>
      <c r="E7" s="117"/>
      <c r="F7" s="117"/>
      <c r="G7" s="117"/>
      <c r="H7" s="117"/>
      <c r="I7" s="78">
        <f>I6+I5</f>
        <v>0</v>
      </c>
      <c r="J7" s="72"/>
    </row>
    <row r="8" spans="1:14" s="73" customFormat="1" x14ac:dyDescent="0.3">
      <c r="A8" s="118"/>
      <c r="B8" s="119"/>
      <c r="C8" s="119"/>
      <c r="D8" s="119"/>
      <c r="E8" s="119"/>
      <c r="F8" s="119"/>
      <c r="G8" s="119"/>
      <c r="H8" s="119"/>
      <c r="I8" s="120"/>
      <c r="J8" s="74"/>
    </row>
    <row r="9" spans="1:14" s="73" customFormat="1" ht="162" customHeight="1" x14ac:dyDescent="0.3">
      <c r="A9" s="75" t="s">
        <v>9</v>
      </c>
      <c r="B9" s="121" t="s">
        <v>480</v>
      </c>
      <c r="C9" s="121"/>
      <c r="D9" s="121"/>
      <c r="E9" s="121"/>
      <c r="F9" s="121"/>
      <c r="G9" s="121"/>
      <c r="H9" s="121"/>
      <c r="I9" s="122"/>
      <c r="J9" s="76"/>
    </row>
  </sheetData>
  <mergeCells count="5">
    <mergeCell ref="B5:H5"/>
    <mergeCell ref="B6:H6"/>
    <mergeCell ref="B7:H7"/>
    <mergeCell ref="A8:I8"/>
    <mergeCell ref="B9:I9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51</vt:i4>
      </vt:variant>
      <vt:variant>
        <vt:lpstr>Named Ranges</vt:lpstr>
      </vt:variant>
      <vt:variant>
        <vt:i4>1</vt:i4>
      </vt:variant>
    </vt:vector>
  </HeadingPairs>
  <TitlesOfParts>
    <vt:vector size="52" baseType="lpstr">
      <vt:lpstr>Gland</vt:lpstr>
      <vt:lpstr>Actuator</vt:lpstr>
      <vt:lpstr>AVR</vt:lpstr>
      <vt:lpstr>Glands</vt:lpstr>
      <vt:lpstr>Accumulator Spares</vt:lpstr>
      <vt:lpstr>Elec Act</vt:lpstr>
      <vt:lpstr>SND Spares</vt:lpstr>
      <vt:lpstr>C&amp;I Spares</vt:lpstr>
      <vt:lpstr>MOV &amp; Capacitor</vt:lpstr>
      <vt:lpstr>LVDT &amp; Limit switch</vt:lpstr>
      <vt:lpstr>DEH Spares</vt:lpstr>
      <vt:lpstr>Metrix</vt:lpstr>
      <vt:lpstr>Feeder Controller</vt:lpstr>
      <vt:lpstr>Switches</vt:lpstr>
      <vt:lpstr>Catridge</vt:lpstr>
      <vt:lpstr>DEH Control System</vt:lpstr>
      <vt:lpstr>MSV Spares</vt:lpstr>
      <vt:lpstr>FGD</vt:lpstr>
      <vt:lpstr>ESp Cards</vt:lpstr>
      <vt:lpstr>DEH Module</vt:lpstr>
      <vt:lpstr>EMRV</vt:lpstr>
      <vt:lpstr>Coil</vt:lpstr>
      <vt:lpstr>FLAME CASING</vt:lpstr>
      <vt:lpstr>Nadi Coil</vt:lpstr>
      <vt:lpstr>Tacho Wheel</vt:lpstr>
      <vt:lpstr>SND Add </vt:lpstr>
      <vt:lpstr>APH Tubes</vt:lpstr>
      <vt:lpstr>Burner Spares 2</vt:lpstr>
      <vt:lpstr>Sheet1</vt:lpstr>
      <vt:lpstr>RTD &amp; LT</vt:lpstr>
      <vt:lpstr>DC MOTOR</vt:lpstr>
      <vt:lpstr>Pump Motor</vt:lpstr>
      <vt:lpstr>5000002901</vt:lpstr>
      <vt:lpstr>Bearing Housings BFP</vt:lpstr>
      <vt:lpstr>BFP Motor</vt:lpstr>
      <vt:lpstr>SWP Relay</vt:lpstr>
      <vt:lpstr>LVDT</vt:lpstr>
      <vt:lpstr>DP Switch</vt:lpstr>
      <vt:lpstr>Vortex</vt:lpstr>
      <vt:lpstr>SiCv</vt:lpstr>
      <vt:lpstr>IV Act</vt:lpstr>
      <vt:lpstr>5000003050</vt:lpstr>
      <vt:lpstr>5000003631</vt:lpstr>
      <vt:lpstr>1400000008</vt:lpstr>
      <vt:lpstr>1400000074</vt:lpstr>
      <vt:lpstr>Budgetary EH Pump</vt:lpstr>
      <vt:lpstr>DEH IO Module</vt:lpstr>
      <vt:lpstr>1400000169 </vt:lpstr>
      <vt:lpstr>1400000168 </vt:lpstr>
      <vt:lpstr>1400000261 </vt:lpstr>
      <vt:lpstr>1400000717</vt:lpstr>
      <vt:lpstr>'1400000717'!Print_Area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Agastya</dc:creator>
  <cp:lastModifiedBy>Controller Common</cp:lastModifiedBy>
  <dcterms:created xsi:type="dcterms:W3CDTF">2015-06-05T18:17:20Z</dcterms:created>
  <dcterms:modified xsi:type="dcterms:W3CDTF">2026-10-23T10:16:38Z</dcterms:modified>
</cp:coreProperties>
</file>